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60" firstSheet="11" activeTab="11"/>
  </bookViews>
  <sheets>
    <sheet name="JULY 2015" sheetId="1" r:id="rId1"/>
    <sheet name="AUG 2015" sheetId="2" r:id="rId2"/>
    <sheet name="SEPT 2015" sheetId="3" r:id="rId3"/>
    <sheet name="OCT 2015" sheetId="4" r:id="rId4"/>
    <sheet name="NOV 2015" sheetId="5" r:id="rId5"/>
    <sheet name="DEC 2015" sheetId="6" r:id="rId6"/>
    <sheet name="JAN 2016" sheetId="7" r:id="rId7"/>
    <sheet name="FEB 2016" sheetId="8" r:id="rId8"/>
    <sheet name="MARCH 2016" sheetId="9" r:id="rId9"/>
    <sheet name="APRIL 2016" sheetId="10" r:id="rId10"/>
    <sheet name="MAY 2016" sheetId="11" r:id="rId11"/>
    <sheet name="Sheet1" sheetId="12" r:id="rId12"/>
  </sheets>
  <definedNames>
    <definedName name="_xlnm.Print_Titles" localSheetId="9">'APRIL 2016'!$6:$7</definedName>
    <definedName name="_xlnm.Print_Titles" localSheetId="5">'DEC 2015'!$6:$7</definedName>
    <definedName name="_xlnm.Print_Titles" localSheetId="7">'FEB 2016'!$6:$7</definedName>
    <definedName name="_xlnm.Print_Titles" localSheetId="6">'JAN 2016'!$6:$7</definedName>
    <definedName name="_xlnm.Print_Titles" localSheetId="0">'JULY 2015'!$6:$7</definedName>
    <definedName name="_xlnm.Print_Titles" localSheetId="8">'MARCH 2016'!$6:$7</definedName>
    <definedName name="_xlnm.Print_Titles" localSheetId="4">'NOV 2015'!$6:$7</definedName>
    <definedName name="_xlnm.Print_Titles" localSheetId="3">'OCT 2015'!$6:$7</definedName>
    <definedName name="_xlnm.Print_Titles" localSheetId="2">'SEPT 2015'!$6:$7</definedName>
  </definedNames>
  <calcPr fullCalcOnLoad="1"/>
</workbook>
</file>

<file path=xl/sharedStrings.xml><?xml version="1.0" encoding="utf-8"?>
<sst xmlns="http://schemas.openxmlformats.org/spreadsheetml/2006/main" count="1305" uniqueCount="154">
  <si>
    <t>Monthly Revenue Report</t>
  </si>
  <si>
    <t>UNITED REPUBLIC OF TANZANIA</t>
  </si>
  <si>
    <t>Mwanza City Council</t>
  </si>
  <si>
    <t>APPROVED BUDGET</t>
  </si>
  <si>
    <t>DESCRIPTION</t>
  </si>
  <si>
    <t>%</t>
  </si>
  <si>
    <t>VARIANCE</t>
  </si>
  <si>
    <t>FINANCE  &amp; ADMINISTRATION COMMITTEE</t>
  </si>
  <si>
    <t>Admin &amp; Human Resources</t>
  </si>
  <si>
    <t>Sub-Total Admin Human Resource</t>
  </si>
  <si>
    <t>Finance &amp; Trade</t>
  </si>
  <si>
    <t>Tender fee</t>
  </si>
  <si>
    <t>Other Fines and Penalties</t>
  </si>
  <si>
    <t>Intoxicating liquor license fee</t>
  </si>
  <si>
    <t>Service Levy</t>
  </si>
  <si>
    <t>Magulio fees</t>
  </si>
  <si>
    <t>Market Stalls/Dues</t>
  </si>
  <si>
    <t>Sub Total Finance &amp; Trade</t>
  </si>
  <si>
    <t>Legal Services</t>
  </si>
  <si>
    <t>Sub-Total Legal Services</t>
  </si>
  <si>
    <t>Sub-Total Finance &amp; Admin Committee</t>
  </si>
  <si>
    <t>ECONOMIC, HEALTH &amp; EDUCATION COMMITTEE</t>
  </si>
  <si>
    <t>Health</t>
  </si>
  <si>
    <t>Cesspit emptying service fee</t>
  </si>
  <si>
    <t>Refuse collection service fee</t>
  </si>
  <si>
    <t>Cost Sharing</t>
  </si>
  <si>
    <t>Sub-Total Health</t>
  </si>
  <si>
    <t>Education</t>
  </si>
  <si>
    <t>School fees</t>
  </si>
  <si>
    <t>Sub-Total Education</t>
  </si>
  <si>
    <t>Livestock</t>
  </si>
  <si>
    <t>Abattoir slaughter sevice fee</t>
  </si>
  <si>
    <t>Sub-Total Livestock</t>
  </si>
  <si>
    <t>Fisheries</t>
  </si>
  <si>
    <t>Fishing vessel licence fees</t>
  </si>
  <si>
    <t>Fish landing facilities fee</t>
  </si>
  <si>
    <t>Sub-Total Fisheries</t>
  </si>
  <si>
    <t>Sub-Total Economic, Health &amp; Education Committtee</t>
  </si>
  <si>
    <t>URBAN PLANNING,WORKS, &amp; ENVIRONMENT COMMITTEE</t>
  </si>
  <si>
    <t>Works Department</t>
  </si>
  <si>
    <t>Permit fees for billboards, posters</t>
  </si>
  <si>
    <t>Central bus stand fees</t>
  </si>
  <si>
    <t>Parking fees</t>
  </si>
  <si>
    <t>Building permit fee</t>
  </si>
  <si>
    <t>URBAN PLANNING &amp; ENVIRONMENT DEPARTMENT</t>
  </si>
  <si>
    <t>Urban Planning</t>
  </si>
  <si>
    <t>Revenue from sale of plots</t>
  </si>
  <si>
    <t>Land rent</t>
  </si>
  <si>
    <t>Sub-Total Urban Planning</t>
  </si>
  <si>
    <t>Valuation</t>
  </si>
  <si>
    <t>Property Tax</t>
  </si>
  <si>
    <t>Sub-Total Urban Planning &amp; Environment Department</t>
  </si>
  <si>
    <t>Sub-Total Urban Planning Committee</t>
  </si>
  <si>
    <t>GRAND TOTAL OWN SOURCES</t>
  </si>
  <si>
    <t>CENTRAL GOVERNMENT GRANTS</t>
  </si>
  <si>
    <t>RECURRENT GRANT</t>
  </si>
  <si>
    <t>Other Charges</t>
  </si>
  <si>
    <t>OC-Health</t>
  </si>
  <si>
    <t>OC Proper-Primary Education</t>
  </si>
  <si>
    <t>OC Proper-Secondary  Schools</t>
  </si>
  <si>
    <t>OC- Agriculture/Livestock</t>
  </si>
  <si>
    <t>OC-  Water</t>
  </si>
  <si>
    <t>OC-  Works</t>
  </si>
  <si>
    <t>Sub-Total Other Charges</t>
  </si>
  <si>
    <t>Personal Emoluments</t>
  </si>
  <si>
    <t>Grant for Staff Salaries (P.E)</t>
  </si>
  <si>
    <t>Sub-Total Personal Emoluments</t>
  </si>
  <si>
    <t>Total Recurrent Grant</t>
  </si>
  <si>
    <t>Development Grant</t>
  </si>
  <si>
    <t>Livestock Devt. Fund (LDF)</t>
  </si>
  <si>
    <t>Grant - Health Basket</t>
  </si>
  <si>
    <t>Grant for TACAIDS</t>
  </si>
  <si>
    <t>Tanzania strategic Cities Project (TSCP)</t>
  </si>
  <si>
    <t>Grant-RWSSP</t>
  </si>
  <si>
    <t>Grant SEDP</t>
  </si>
  <si>
    <t xml:space="preserve">Sub-Total Devt. Grant </t>
  </si>
  <si>
    <t>Grand Total Govt Grant</t>
  </si>
  <si>
    <t>TOTAL COUNCIL REVENUE</t>
  </si>
  <si>
    <t>Grant - LGCD(CDG &amp;CBG)</t>
  </si>
  <si>
    <t>ANNUAL PERFOMANCE</t>
  </si>
  <si>
    <t>OC-Administration (GPG Grant)</t>
  </si>
  <si>
    <t>Other levies on Business Activity</t>
  </si>
  <si>
    <t>Advertising fee</t>
  </si>
  <si>
    <t>Livestock market fee</t>
  </si>
  <si>
    <t>Community Development</t>
  </si>
  <si>
    <t>Receipts from  Entities</t>
  </si>
  <si>
    <t>Sub-total Community Dev.</t>
  </si>
  <si>
    <t>Building materials extraction license fee</t>
  </si>
  <si>
    <t xml:space="preserve"> REVENUE</t>
  </si>
  <si>
    <t>REVENUE</t>
  </si>
  <si>
    <t>Revenue from renting houses-Conference Halls</t>
  </si>
  <si>
    <t>Other Business Licence Fees</t>
  </si>
  <si>
    <t xml:space="preserve"> Mwanza-Tampere bilateral fund</t>
  </si>
  <si>
    <t>Sub-Total Works Department</t>
  </si>
  <si>
    <t xml:space="preserve">Total Property Tax </t>
  </si>
  <si>
    <t>Community contribution</t>
  </si>
  <si>
    <t>Other funding</t>
  </si>
  <si>
    <t>Sub-total Other Funding</t>
  </si>
  <si>
    <t>Grand Total Development</t>
  </si>
  <si>
    <t>2015/16</t>
  </si>
  <si>
    <t>JULY 2015</t>
  </si>
  <si>
    <t>Sanitation Fees and Charges</t>
  </si>
  <si>
    <t xml:space="preserve"> JULY 2015</t>
  </si>
  <si>
    <t xml:space="preserve"> PREVIOUS</t>
  </si>
  <si>
    <t>Grant-TASAF</t>
  </si>
  <si>
    <t>AUGUST 2015</t>
  </si>
  <si>
    <t xml:space="preserve"> JULY- AUGUST 2015</t>
  </si>
  <si>
    <t>SEPTEMBER 2015</t>
  </si>
  <si>
    <t>SEPT 2015</t>
  </si>
  <si>
    <t xml:space="preserve"> JULY- SEPT 2015</t>
  </si>
  <si>
    <t>Grant-ROADS FUND</t>
  </si>
  <si>
    <t>OCTOBER 2015</t>
  </si>
  <si>
    <t>OCT 2015</t>
  </si>
  <si>
    <t xml:space="preserve"> JULY- OCT 2015</t>
  </si>
  <si>
    <t>NOVEMBER 2015</t>
  </si>
  <si>
    <t xml:space="preserve"> REVENUE UP TO</t>
  </si>
  <si>
    <t>REVENUE FOR</t>
  </si>
  <si>
    <t>NOV 2015</t>
  </si>
  <si>
    <t xml:space="preserve"> JULY- NOV 2015</t>
  </si>
  <si>
    <t>DECEMBER 2015</t>
  </si>
  <si>
    <t>DEC 2015</t>
  </si>
  <si>
    <t xml:space="preserve"> JULY- DEC 2015</t>
  </si>
  <si>
    <t>JANUARY 2016</t>
  </si>
  <si>
    <t xml:space="preserve"> JULY- JAN 2016</t>
  </si>
  <si>
    <t>Community &amp; Other contribution</t>
  </si>
  <si>
    <t>JAN 2016</t>
  </si>
  <si>
    <t xml:space="preserve"> JULY- FEB 2016</t>
  </si>
  <si>
    <t>FEBRUARY</t>
  </si>
  <si>
    <t>Hotel Levy</t>
  </si>
  <si>
    <t>MARCH 2016</t>
  </si>
  <si>
    <t>FEB 2016</t>
  </si>
  <si>
    <t>MARCH</t>
  </si>
  <si>
    <t xml:space="preserve"> JULY- MARC 2016</t>
  </si>
  <si>
    <t>Mfuko wa Jimbo</t>
  </si>
  <si>
    <t>APRILI 2016</t>
  </si>
  <si>
    <t>APRIL</t>
  </si>
  <si>
    <t xml:space="preserve"> JULY- APRIL 2016</t>
  </si>
  <si>
    <t>MAY</t>
  </si>
  <si>
    <t xml:space="preserve"> JULY- MAY 2016</t>
  </si>
  <si>
    <t>MAY 2016</t>
  </si>
  <si>
    <t>2016/17</t>
  </si>
  <si>
    <t>Hotel levy</t>
  </si>
  <si>
    <t>Town Municipals/city councils (special schools)</t>
  </si>
  <si>
    <t>SPHCR</t>
  </si>
  <si>
    <t>Billateral (DFID)-Nutrition</t>
  </si>
  <si>
    <t>Sanitation (WASH) Urban/Distr. councils</t>
  </si>
  <si>
    <t>TASAF</t>
  </si>
  <si>
    <t>ROAD FUND</t>
  </si>
  <si>
    <t xml:space="preserve">               </t>
  </si>
  <si>
    <t>OWN SOURCE</t>
  </si>
  <si>
    <t>REVENUE BUDGET 2016/2017</t>
  </si>
  <si>
    <t>REVENUE DEDESCRIPTION</t>
  </si>
  <si>
    <t>THE UNITED REPUBLIC OF TANZANIA</t>
  </si>
  <si>
    <t xml:space="preserve"> Economic, Health &amp; Education Committtee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</si>
</sst>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[Red]\(#,##0.0\)"/>
    <numFmt numFmtId="170" formatCode="#,##0.0_);\(#,##0.0\)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0000"/>
    <numFmt numFmtId="176" formatCode="0.00000000"/>
    <numFmt numFmtId="177" formatCode="0.000000"/>
    <numFmt numFmtId="178" formatCode="[$-409]dddd\,\ mmmm\ dd\,\ yyyy"/>
    <numFmt numFmtId="179" formatCode="m/d/yyyy;@"/>
    <numFmt numFmtId="180" formatCode="#,##0.000_);\(#,##0.000\)"/>
    <numFmt numFmtId="181" formatCode="#,##0.0000_);\(#,##0.0000\)"/>
    <numFmt numFmtId="182" formatCode="[$-409]h:mm:ss\ AM/PM"/>
    <numFmt numFmtId="183" formatCode="0.00000"/>
    <numFmt numFmtId="184" formatCode="0.0000"/>
    <numFmt numFmtId="185" formatCode="0.000"/>
    <numFmt numFmtId="186" formatCode="0.0"/>
    <numFmt numFmtId="187" formatCode="#,##0.00000000_);[Red]\(#,##0.00000000\)"/>
    <numFmt numFmtId="188" formatCode="#,##0.0000000_);[Red]\(#,##0.0000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10" xfId="58" applyNumberFormat="1" applyFont="1" applyFill="1" applyBorder="1" applyAlignment="1" applyProtection="1">
      <alignment horizontal="left"/>
      <protection locked="0"/>
    </xf>
    <xf numFmtId="0" fontId="4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3" fillId="0" borderId="10" xfId="58" applyFont="1" applyFill="1" applyBorder="1">
      <alignment/>
      <protection/>
    </xf>
    <xf numFmtId="164" fontId="3" fillId="0" borderId="10" xfId="58" applyNumberFormat="1" applyFont="1" applyFill="1" applyBorder="1" applyAlignment="1">
      <alignment horizontal="right"/>
      <protection/>
    </xf>
    <xf numFmtId="164" fontId="2" fillId="0" borderId="10" xfId="58" applyNumberFormat="1" applyFont="1" applyFill="1" applyBorder="1" applyAlignment="1">
      <alignment horizontal="right"/>
      <protection/>
    </xf>
    <xf numFmtId="43" fontId="2" fillId="0" borderId="10" xfId="44" applyFont="1" applyFill="1" applyBorder="1" applyAlignment="1">
      <alignment/>
    </xf>
    <xf numFmtId="9" fontId="3" fillId="0" borderId="0" xfId="58" applyNumberFormat="1" applyFont="1" applyFill="1">
      <alignment/>
      <protection/>
    </xf>
    <xf numFmtId="0" fontId="3" fillId="0" borderId="11" xfId="58" applyNumberFormat="1" applyFont="1" applyFill="1" applyBorder="1" applyAlignment="1" applyProtection="1">
      <alignment horizontal="center"/>
      <protection locked="0"/>
    </xf>
    <xf numFmtId="0" fontId="3" fillId="0" borderId="12" xfId="58" applyFont="1" applyFill="1" applyBorder="1">
      <alignment/>
      <protection/>
    </xf>
    <xf numFmtId="0" fontId="2" fillId="0" borderId="13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0" fontId="2" fillId="0" borderId="0" xfId="58" applyFont="1" applyFill="1">
      <alignment/>
      <protection/>
    </xf>
    <xf numFmtId="9" fontId="2" fillId="0" borderId="0" xfId="58" applyNumberFormat="1" applyFont="1" applyFill="1">
      <alignment/>
      <protection/>
    </xf>
    <xf numFmtId="9" fontId="2" fillId="0" borderId="10" xfId="58" applyNumberFormat="1" applyFont="1" applyFill="1" applyBorder="1">
      <alignment/>
      <protection/>
    </xf>
    <xf numFmtId="9" fontId="2" fillId="0" borderId="10" xfId="58" applyNumberFormat="1" applyFont="1" applyFill="1" applyBorder="1" applyAlignment="1">
      <alignment horizontal="right"/>
      <protection/>
    </xf>
    <xf numFmtId="164" fontId="6" fillId="0" borderId="10" xfId="58" applyNumberFormat="1" applyFont="1" applyFill="1" applyBorder="1" applyAlignment="1">
      <alignment horizontal="right"/>
      <protection/>
    </xf>
    <xf numFmtId="43" fontId="2" fillId="0" borderId="10" xfId="42" applyFont="1" applyFill="1" applyBorder="1" applyAlignment="1">
      <alignment/>
    </xf>
    <xf numFmtId="9" fontId="3" fillId="0" borderId="11" xfId="58" applyNumberFormat="1" applyFont="1" applyFill="1" applyBorder="1" applyAlignment="1">
      <alignment horizontal="center" wrapText="1"/>
      <protection/>
    </xf>
    <xf numFmtId="9" fontId="3" fillId="0" borderId="10" xfId="5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55" fillId="0" borderId="10" xfId="42" applyFont="1" applyFill="1" applyBorder="1" applyAlignment="1">
      <alignment/>
    </xf>
    <xf numFmtId="43" fontId="55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center" wrapText="1"/>
      <protection/>
    </xf>
    <xf numFmtId="39" fontId="0" fillId="0" borderId="10" xfId="42" applyNumberFormat="1" applyFont="1" applyFill="1" applyBorder="1" applyAlignment="1">
      <alignment/>
    </xf>
    <xf numFmtId="39" fontId="2" fillId="0" borderId="10" xfId="42" applyNumberFormat="1" applyFont="1" applyFill="1" applyBorder="1" applyAlignment="1">
      <alignment/>
    </xf>
    <xf numFmtId="39" fontId="2" fillId="0" borderId="10" xfId="58" applyNumberFormat="1" applyFont="1" applyFill="1" applyBorder="1" applyAlignment="1">
      <alignment horizontal="right"/>
      <protection/>
    </xf>
    <xf numFmtId="39" fontId="3" fillId="0" borderId="10" xfId="58" applyNumberFormat="1" applyFont="1" applyFill="1" applyBorder="1" applyAlignment="1">
      <alignment horizontal="right"/>
      <protection/>
    </xf>
    <xf numFmtId="39" fontId="2" fillId="0" borderId="10" xfId="58" applyNumberFormat="1" applyFont="1" applyFill="1" applyBorder="1">
      <alignment/>
      <protection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64" fontId="60" fillId="0" borderId="10" xfId="58" applyNumberFormat="1" applyFont="1" applyFill="1" applyBorder="1" applyAlignment="1">
      <alignment horizontal="right"/>
      <protection/>
    </xf>
    <xf numFmtId="39" fontId="55" fillId="0" borderId="10" xfId="42" applyNumberFormat="1" applyFont="1" applyFill="1" applyBorder="1" applyAlignment="1">
      <alignment/>
    </xf>
    <xf numFmtId="39" fontId="0" fillId="0" borderId="10" xfId="0" applyNumberFormat="1" applyFill="1" applyBorder="1" applyAlignment="1">
      <alignment/>
    </xf>
    <xf numFmtId="39" fontId="5" fillId="0" borderId="10" xfId="0" applyNumberFormat="1" applyFont="1" applyFill="1" applyBorder="1" applyAlignment="1">
      <alignment/>
    </xf>
    <xf numFmtId="39" fontId="9" fillId="0" borderId="10" xfId="42" applyNumberFormat="1" applyFont="1" applyFill="1" applyBorder="1" applyAlignment="1">
      <alignment horizontal="right"/>
    </xf>
    <xf numFmtId="164" fontId="3" fillId="0" borderId="14" xfId="58" applyNumberFormat="1" applyFont="1" applyFill="1" applyBorder="1" applyAlignment="1">
      <alignment horizontal="right"/>
      <protection/>
    </xf>
    <xf numFmtId="39" fontId="3" fillId="0" borderId="14" xfId="58" applyNumberFormat="1" applyFont="1" applyFill="1" applyBorder="1" applyAlignment="1">
      <alignment horizontal="right"/>
      <protection/>
    </xf>
    <xf numFmtId="9" fontId="3" fillId="0" borderId="14" xfId="58" applyNumberFormat="1" applyFont="1" applyFill="1" applyBorder="1" applyAlignment="1">
      <alignment horizontal="right"/>
      <protection/>
    </xf>
    <xf numFmtId="0" fontId="2" fillId="0" borderId="15" xfId="58" applyFont="1" applyFill="1" applyBorder="1">
      <alignment/>
      <protection/>
    </xf>
    <xf numFmtId="39" fontId="2" fillId="0" borderId="15" xfId="58" applyNumberFormat="1" applyFont="1" applyFill="1" applyBorder="1">
      <alignment/>
      <protection/>
    </xf>
    <xf numFmtId="39" fontId="2" fillId="0" borderId="15" xfId="58" applyNumberFormat="1" applyFont="1" applyFill="1" applyBorder="1" applyAlignment="1">
      <alignment horizontal="right"/>
      <protection/>
    </xf>
    <xf numFmtId="9" fontId="2" fillId="0" borderId="15" xfId="58" applyNumberFormat="1" applyFont="1" applyFill="1" applyBorder="1" applyAlignment="1">
      <alignment horizontal="right"/>
      <protection/>
    </xf>
    <xf numFmtId="164" fontId="2" fillId="0" borderId="15" xfId="58" applyNumberFormat="1" applyFont="1" applyFill="1" applyBorder="1" applyAlignment="1">
      <alignment horizontal="right"/>
      <protection/>
    </xf>
    <xf numFmtId="0" fontId="3" fillId="0" borderId="16" xfId="58" applyNumberFormat="1" applyFont="1" applyFill="1" applyBorder="1" applyAlignment="1" applyProtection="1">
      <alignment horizontal="left"/>
      <protection locked="0"/>
    </xf>
    <xf numFmtId="164" fontId="3" fillId="0" borderId="17" xfId="58" applyNumberFormat="1" applyFont="1" applyFill="1" applyBorder="1" applyAlignment="1">
      <alignment horizontal="right"/>
      <protection/>
    </xf>
    <xf numFmtId="9" fontId="3" fillId="0" borderId="17" xfId="58" applyNumberFormat="1" applyFont="1" applyFill="1" applyBorder="1" applyAlignment="1">
      <alignment horizontal="right"/>
      <protection/>
    </xf>
    <xf numFmtId="164" fontId="3" fillId="0" borderId="18" xfId="58" applyNumberFormat="1" applyFont="1" applyFill="1" applyBorder="1" applyAlignment="1">
      <alignment horizontal="right"/>
      <protection/>
    </xf>
    <xf numFmtId="0" fontId="3" fillId="0" borderId="13" xfId="58" applyNumberFormat="1" applyFont="1" applyFill="1" applyBorder="1" applyAlignment="1" applyProtection="1">
      <alignment/>
      <protection locked="0"/>
    </xf>
    <xf numFmtId="0" fontId="3" fillId="0" borderId="11" xfId="58" applyNumberFormat="1" applyFont="1" applyFill="1" applyBorder="1" applyAlignment="1" applyProtection="1">
      <alignment/>
      <protection locked="0"/>
    </xf>
    <xf numFmtId="0" fontId="3" fillId="0" borderId="12" xfId="58" applyNumberFormat="1" applyFont="1" applyFill="1" applyBorder="1" applyAlignment="1" applyProtection="1">
      <alignment/>
      <protection locked="0"/>
    </xf>
    <xf numFmtId="0" fontId="2" fillId="0" borderId="19" xfId="58" applyFont="1" applyFill="1" applyBorder="1">
      <alignment/>
      <protection/>
    </xf>
    <xf numFmtId="0" fontId="2" fillId="0" borderId="20" xfId="58" applyFont="1" applyFill="1" applyBorder="1">
      <alignment/>
      <protection/>
    </xf>
    <xf numFmtId="0" fontId="3" fillId="0" borderId="19" xfId="58" applyNumberFormat="1" applyFont="1" applyFill="1" applyBorder="1" applyAlignment="1" applyProtection="1">
      <alignment horizontal="left"/>
      <protection locked="0"/>
    </xf>
    <xf numFmtId="0" fontId="2" fillId="0" borderId="19" xfId="58" applyNumberFormat="1" applyFont="1" applyFill="1" applyBorder="1" applyAlignment="1" applyProtection="1">
      <alignment horizontal="left"/>
      <protection locked="0"/>
    </xf>
    <xf numFmtId="164" fontId="2" fillId="0" borderId="20" xfId="58" applyNumberFormat="1" applyFont="1" applyFill="1" applyBorder="1" applyAlignment="1">
      <alignment horizontal="right"/>
      <protection/>
    </xf>
    <xf numFmtId="0" fontId="10" fillId="0" borderId="19" xfId="0" applyFont="1" applyFill="1" applyBorder="1" applyAlignment="1">
      <alignment horizontal="left"/>
    </xf>
    <xf numFmtId="164" fontId="3" fillId="0" borderId="20" xfId="58" applyNumberFormat="1" applyFont="1" applyFill="1" applyBorder="1" applyAlignment="1">
      <alignment horizontal="right"/>
      <protection/>
    </xf>
    <xf numFmtId="0" fontId="11" fillId="0" borderId="19" xfId="0" applyFont="1" applyFill="1" applyBorder="1" applyAlignment="1">
      <alignment horizontal="left"/>
    </xf>
    <xf numFmtId="0" fontId="3" fillId="0" borderId="19" xfId="58" applyNumberFormat="1" applyFont="1" applyFill="1" applyBorder="1" applyAlignment="1" applyProtection="1">
      <alignment horizontal="left" wrapText="1"/>
      <protection locked="0"/>
    </xf>
    <xf numFmtId="0" fontId="3" fillId="0" borderId="21" xfId="58" applyNumberFormat="1" applyFont="1" applyFill="1" applyBorder="1" applyAlignment="1" applyProtection="1">
      <alignment horizontal="left"/>
      <protection locked="0"/>
    </xf>
    <xf numFmtId="164" fontId="3" fillId="0" borderId="22" xfId="58" applyNumberFormat="1" applyFont="1" applyFill="1" applyBorder="1" applyAlignment="1">
      <alignment horizontal="right"/>
      <protection/>
    </xf>
    <xf numFmtId="0" fontId="3" fillId="0" borderId="23" xfId="58" applyNumberFormat="1" applyFont="1" applyFill="1" applyBorder="1" applyAlignment="1" applyProtection="1">
      <alignment horizontal="left"/>
      <protection locked="0"/>
    </xf>
    <xf numFmtId="164" fontId="2" fillId="0" borderId="24" xfId="58" applyNumberFormat="1" applyFont="1" applyFill="1" applyBorder="1" applyAlignment="1">
      <alignment horizontal="right"/>
      <protection/>
    </xf>
    <xf numFmtId="4" fontId="61" fillId="0" borderId="0" xfId="0" applyNumberFormat="1" applyFont="1" applyFill="1" applyBorder="1" applyAlignment="1">
      <alignment/>
    </xf>
    <xf numFmtId="0" fontId="3" fillId="0" borderId="25" xfId="58" applyNumberFormat="1" applyFont="1" applyFill="1" applyBorder="1" applyAlignment="1" applyProtection="1">
      <alignment horizontal="left"/>
      <protection locked="0"/>
    </xf>
    <xf numFmtId="164" fontId="3" fillId="0" borderId="26" xfId="58" applyNumberFormat="1" applyFont="1" applyFill="1" applyBorder="1" applyAlignment="1">
      <alignment horizontal="right"/>
      <protection/>
    </xf>
    <xf numFmtId="9" fontId="3" fillId="0" borderId="26" xfId="58" applyNumberFormat="1" applyFont="1" applyFill="1" applyBorder="1" applyAlignment="1">
      <alignment horizontal="right"/>
      <protection/>
    </xf>
    <xf numFmtId="164" fontId="3" fillId="0" borderId="27" xfId="58" applyNumberFormat="1" applyFont="1" applyFill="1" applyBorder="1" applyAlignment="1">
      <alignment horizontal="right"/>
      <protection/>
    </xf>
    <xf numFmtId="0" fontId="3" fillId="0" borderId="25" xfId="58" applyNumberFormat="1" applyFont="1" applyFill="1" applyBorder="1" applyAlignment="1" applyProtection="1">
      <alignment horizontal="center"/>
      <protection locked="0"/>
    </xf>
    <xf numFmtId="0" fontId="3" fillId="0" borderId="26" xfId="58" applyNumberFormat="1" applyFont="1" applyFill="1" applyBorder="1" applyAlignment="1" applyProtection="1">
      <alignment horizontal="center"/>
      <protection locked="0"/>
    </xf>
    <xf numFmtId="9" fontId="3" fillId="0" borderId="26" xfId="58" applyNumberFormat="1" applyFont="1" applyFill="1" applyBorder="1" applyAlignment="1" applyProtection="1">
      <alignment horizontal="center"/>
      <protection locked="0"/>
    </xf>
    <xf numFmtId="0" fontId="3" fillId="0" borderId="27" xfId="58" applyNumberFormat="1" applyFont="1" applyFill="1" applyBorder="1" applyAlignment="1" applyProtection="1">
      <alignment horizontal="center"/>
      <protection locked="0"/>
    </xf>
    <xf numFmtId="169" fontId="3" fillId="0" borderId="15" xfId="58" applyNumberFormat="1" applyFont="1" applyFill="1" applyBorder="1">
      <alignment/>
      <protection/>
    </xf>
    <xf numFmtId="39" fontId="3" fillId="0" borderId="15" xfId="58" applyNumberFormat="1" applyFont="1" applyFill="1" applyBorder="1" applyAlignment="1">
      <alignment horizontal="right"/>
      <protection/>
    </xf>
    <xf numFmtId="0" fontId="3" fillId="0" borderId="15" xfId="58" applyFont="1" applyFill="1" applyBorder="1">
      <alignment/>
      <protection/>
    </xf>
    <xf numFmtId="0" fontId="2" fillId="0" borderId="25" xfId="58" applyNumberFormat="1" applyFont="1" applyFill="1" applyBorder="1" applyAlignment="1" applyProtection="1">
      <alignment horizontal="left"/>
      <protection locked="0"/>
    </xf>
    <xf numFmtId="164" fontId="2" fillId="0" borderId="26" xfId="58" applyNumberFormat="1" applyFont="1" applyFill="1" applyBorder="1" applyAlignment="1">
      <alignment horizontal="right"/>
      <protection/>
    </xf>
    <xf numFmtId="9" fontId="2" fillId="0" borderId="26" xfId="58" applyNumberFormat="1" applyFont="1" applyFill="1" applyBorder="1" applyAlignment="1">
      <alignment horizontal="right"/>
      <protection/>
    </xf>
    <xf numFmtId="164" fontId="2" fillId="0" borderId="27" xfId="58" applyNumberFormat="1" applyFont="1" applyFill="1" applyBorder="1" applyAlignment="1">
      <alignment horizontal="right"/>
      <protection/>
    </xf>
    <xf numFmtId="4" fontId="62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0" fontId="3" fillId="0" borderId="28" xfId="58" applyNumberFormat="1" applyFont="1" applyFill="1" applyBorder="1" applyAlignment="1" applyProtection="1">
      <alignment horizontal="left"/>
      <protection locked="0"/>
    </xf>
    <xf numFmtId="164" fontId="3" fillId="0" borderId="29" xfId="58" applyNumberFormat="1" applyFont="1" applyFill="1" applyBorder="1" applyAlignment="1">
      <alignment horizontal="right"/>
      <protection/>
    </xf>
    <xf numFmtId="39" fontId="3" fillId="0" borderId="30" xfId="58" applyNumberFormat="1" applyFont="1" applyFill="1" applyBorder="1" applyAlignment="1">
      <alignment horizontal="right"/>
      <protection/>
    </xf>
    <xf numFmtId="0" fontId="3" fillId="0" borderId="31" xfId="58" applyNumberFormat="1" applyFont="1" applyFill="1" applyBorder="1" applyAlignment="1" applyProtection="1">
      <alignment horizontal="left"/>
      <protection locked="0"/>
    </xf>
    <xf numFmtId="164" fontId="3" fillId="0" borderId="30" xfId="58" applyNumberFormat="1" applyFont="1" applyFill="1" applyBorder="1" applyAlignment="1">
      <alignment horizontal="right"/>
      <protection/>
    </xf>
    <xf numFmtId="9" fontId="2" fillId="0" borderId="30" xfId="58" applyNumberFormat="1" applyFont="1" applyFill="1" applyBorder="1" applyAlignment="1">
      <alignment horizontal="right"/>
      <protection/>
    </xf>
    <xf numFmtId="164" fontId="2" fillId="0" borderId="32" xfId="58" applyNumberFormat="1" applyFont="1" applyFill="1" applyBorder="1" applyAlignment="1">
      <alignment horizontal="right"/>
      <protection/>
    </xf>
    <xf numFmtId="172" fontId="2" fillId="0" borderId="10" xfId="42" applyNumberFormat="1" applyFont="1" applyFill="1" applyBorder="1" applyAlignment="1">
      <alignment horizontal="right"/>
    </xf>
    <xf numFmtId="0" fontId="2" fillId="0" borderId="33" xfId="58" applyFont="1" applyFill="1" applyBorder="1">
      <alignment/>
      <protection/>
    </xf>
    <xf numFmtId="39" fontId="2" fillId="0" borderId="14" xfId="58" applyNumberFormat="1" applyFont="1" applyFill="1" applyBorder="1">
      <alignment/>
      <protection/>
    </xf>
    <xf numFmtId="39" fontId="2" fillId="0" borderId="14" xfId="58" applyNumberFormat="1" applyFont="1" applyFill="1" applyBorder="1" applyAlignment="1">
      <alignment horizontal="right"/>
      <protection/>
    </xf>
    <xf numFmtId="9" fontId="2" fillId="0" borderId="14" xfId="58" applyNumberFormat="1" applyFont="1" applyFill="1" applyBorder="1" applyAlignment="1">
      <alignment horizontal="right"/>
      <protection/>
    </xf>
    <xf numFmtId="164" fontId="2" fillId="0" borderId="22" xfId="58" applyNumberFormat="1" applyFont="1" applyFill="1" applyBorder="1" applyAlignment="1">
      <alignment horizontal="right"/>
      <protection/>
    </xf>
    <xf numFmtId="4" fontId="64" fillId="0" borderId="10" xfId="0" applyNumberFormat="1" applyFont="1" applyBorder="1" applyAlignment="1">
      <alignment horizontal="right" vertical="top" wrapText="1"/>
    </xf>
    <xf numFmtId="4" fontId="65" fillId="0" borderId="10" xfId="0" applyNumberFormat="1" applyFont="1" applyBorder="1" applyAlignment="1">
      <alignment horizontal="right" vertical="top" wrapText="1"/>
    </xf>
    <xf numFmtId="4" fontId="62" fillId="0" borderId="10" xfId="0" applyNumberFormat="1" applyFont="1" applyBorder="1" applyAlignment="1">
      <alignment horizontal="right" vertical="top" wrapText="1"/>
    </xf>
    <xf numFmtId="4" fontId="60" fillId="0" borderId="10" xfId="0" applyNumberFormat="1" applyFont="1" applyBorder="1" applyAlignment="1">
      <alignment horizontal="right" vertical="top" wrapText="1"/>
    </xf>
    <xf numFmtId="37" fontId="2" fillId="0" borderId="10" xfId="58" applyNumberFormat="1" applyFont="1" applyFill="1" applyBorder="1">
      <alignment/>
      <protection/>
    </xf>
    <xf numFmtId="43" fontId="0" fillId="0" borderId="0" xfId="42" applyFont="1" applyFill="1" applyAlignment="1">
      <alignment/>
    </xf>
    <xf numFmtId="43" fontId="3" fillId="0" borderId="0" xfId="42" applyFont="1" applyFill="1" applyAlignment="1">
      <alignment/>
    </xf>
    <xf numFmtId="40" fontId="2" fillId="0" borderId="10" xfId="58" applyNumberFormat="1" applyFont="1" applyFill="1" applyBorder="1">
      <alignment/>
      <protection/>
    </xf>
    <xf numFmtId="0" fontId="2" fillId="33" borderId="19" xfId="58" applyNumberFormat="1" applyFont="1" applyFill="1" applyBorder="1" applyAlignment="1" applyProtection="1">
      <alignment horizontal="left"/>
      <protection locked="0"/>
    </xf>
    <xf numFmtId="49" fontId="3" fillId="0" borderId="26" xfId="58" applyNumberFormat="1" applyFont="1" applyFill="1" applyBorder="1" applyAlignment="1" applyProtection="1">
      <alignment horizontal="center"/>
      <protection locked="0"/>
    </xf>
    <xf numFmtId="40" fontId="0" fillId="0" borderId="0" xfId="0" applyNumberFormat="1" applyFill="1" applyAlignment="1">
      <alignment/>
    </xf>
    <xf numFmtId="40" fontId="2" fillId="0" borderId="14" xfId="58" applyNumberFormat="1" applyFont="1" applyFill="1" applyBorder="1">
      <alignment/>
      <protection/>
    </xf>
    <xf numFmtId="4" fontId="2" fillId="0" borderId="15" xfId="58" applyNumberFormat="1" applyFont="1" applyFill="1" applyBorder="1">
      <alignment/>
      <protection/>
    </xf>
    <xf numFmtId="4" fontId="62" fillId="0" borderId="10" xfId="0" applyNumberFormat="1" applyFont="1" applyBorder="1" applyAlignment="1">
      <alignment/>
    </xf>
    <xf numFmtId="43" fontId="0" fillId="0" borderId="0" xfId="42" applyFont="1" applyFill="1" applyAlignment="1">
      <alignment/>
    </xf>
    <xf numFmtId="39" fontId="55" fillId="0" borderId="1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81" fontId="2" fillId="0" borderId="10" xfId="58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8" fillId="0" borderId="0" xfId="58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center" wrapText="1"/>
      <protection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37" fillId="0" borderId="13" xfId="58" applyNumberFormat="1" applyFont="1" applyFill="1" applyBorder="1" applyAlignment="1" applyProtection="1">
      <alignment/>
      <protection locked="0"/>
    </xf>
    <xf numFmtId="0" fontId="37" fillId="0" borderId="19" xfId="58" applyFont="1" applyFill="1" applyBorder="1">
      <alignment/>
      <protection/>
    </xf>
    <xf numFmtId="0" fontId="37" fillId="0" borderId="19" xfId="58" applyNumberFormat="1" applyFont="1" applyFill="1" applyBorder="1" applyAlignment="1" applyProtection="1">
      <alignment horizontal="left"/>
      <protection locked="0"/>
    </xf>
    <xf numFmtId="0" fontId="38" fillId="0" borderId="19" xfId="58" applyNumberFormat="1" applyFont="1" applyFill="1" applyBorder="1" applyAlignment="1" applyProtection="1">
      <alignment horizontal="left"/>
      <protection locked="0"/>
    </xf>
    <xf numFmtId="0" fontId="38" fillId="33" borderId="19" xfId="58" applyNumberFormat="1" applyFont="1" applyFill="1" applyBorder="1" applyAlignment="1" applyProtection="1">
      <alignment horizontal="left"/>
      <protection locked="0"/>
    </xf>
    <xf numFmtId="0" fontId="37" fillId="0" borderId="25" xfId="58" applyNumberFormat="1" applyFont="1" applyFill="1" applyBorder="1" applyAlignment="1" applyProtection="1">
      <alignment horizontal="left"/>
      <protection locked="0"/>
    </xf>
    <xf numFmtId="0" fontId="37" fillId="0" borderId="23" xfId="58" applyNumberFormat="1" applyFont="1" applyFill="1" applyBorder="1" applyAlignment="1" applyProtection="1">
      <alignment horizontal="left"/>
      <protection locked="0"/>
    </xf>
    <xf numFmtId="0" fontId="37" fillId="0" borderId="19" xfId="58" applyNumberFormat="1" applyFont="1" applyFill="1" applyBorder="1" applyAlignment="1" applyProtection="1">
      <alignment horizontal="left" wrapText="1"/>
      <protection locked="0"/>
    </xf>
    <xf numFmtId="0" fontId="37" fillId="0" borderId="21" xfId="58" applyNumberFormat="1" applyFont="1" applyFill="1" applyBorder="1" applyAlignment="1" applyProtection="1">
      <alignment horizontal="left"/>
      <protection locked="0"/>
    </xf>
    <xf numFmtId="0" fontId="38" fillId="0" borderId="19" xfId="58" applyFont="1" applyFill="1" applyBorder="1">
      <alignment/>
      <protection/>
    </xf>
    <xf numFmtId="0" fontId="37" fillId="0" borderId="31" xfId="58" applyNumberFormat="1" applyFont="1" applyFill="1" applyBorder="1" applyAlignment="1" applyProtection="1">
      <alignment horizontal="left"/>
      <protection locked="0"/>
    </xf>
    <xf numFmtId="0" fontId="37" fillId="0" borderId="34" xfId="58" applyNumberFormat="1" applyFont="1" applyFill="1" applyBorder="1" applyAlignment="1" applyProtection="1">
      <alignment horizontal="center"/>
      <protection locked="0"/>
    </xf>
    <xf numFmtId="0" fontId="37" fillId="0" borderId="35" xfId="58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37" fillId="0" borderId="27" xfId="58" applyNumberFormat="1" applyFont="1" applyFill="1" applyBorder="1" applyAlignment="1" applyProtection="1">
      <alignment horizontal="center"/>
      <protection locked="0"/>
    </xf>
    <xf numFmtId="0" fontId="37" fillId="0" borderId="12" xfId="58" applyNumberFormat="1" applyFont="1" applyFill="1" applyBorder="1" applyAlignment="1" applyProtection="1">
      <alignment horizontal="right"/>
      <protection locked="0"/>
    </xf>
    <xf numFmtId="0" fontId="38" fillId="0" borderId="20" xfId="58" applyFont="1" applyFill="1" applyBorder="1" applyAlignment="1">
      <alignment horizontal="right"/>
      <protection/>
    </xf>
    <xf numFmtId="43" fontId="66" fillId="0" borderId="20" xfId="42" applyFont="1" applyFill="1" applyBorder="1" applyAlignment="1">
      <alignment horizontal="right"/>
    </xf>
    <xf numFmtId="164" fontId="37" fillId="0" borderId="20" xfId="58" applyNumberFormat="1" applyFont="1" applyFill="1" applyBorder="1" applyAlignment="1">
      <alignment horizontal="right"/>
      <protection/>
    </xf>
    <xf numFmtId="0" fontId="37" fillId="0" borderId="20" xfId="58" applyFont="1" applyFill="1" applyBorder="1" applyAlignment="1">
      <alignment horizontal="right"/>
      <protection/>
    </xf>
    <xf numFmtId="164" fontId="37" fillId="0" borderId="27" xfId="58" applyNumberFormat="1" applyFont="1" applyFill="1" applyBorder="1" applyAlignment="1">
      <alignment horizontal="right"/>
      <protection/>
    </xf>
    <xf numFmtId="0" fontId="38" fillId="0" borderId="24" xfId="58" applyFont="1" applyFill="1" applyBorder="1" applyAlignment="1">
      <alignment horizontal="right"/>
      <protection/>
    </xf>
    <xf numFmtId="164" fontId="38" fillId="0" borderId="20" xfId="58" applyNumberFormat="1" applyFont="1" applyFill="1" applyBorder="1" applyAlignment="1">
      <alignment horizontal="right"/>
      <protection/>
    </xf>
    <xf numFmtId="43" fontId="67" fillId="0" borderId="20" xfId="42" applyFont="1" applyFill="1" applyBorder="1" applyAlignment="1">
      <alignment horizontal="right"/>
    </xf>
    <xf numFmtId="0" fontId="37" fillId="0" borderId="24" xfId="58" applyFont="1" applyFill="1" applyBorder="1" applyAlignment="1">
      <alignment horizontal="right"/>
      <protection/>
    </xf>
    <xf numFmtId="43" fontId="38" fillId="0" borderId="20" xfId="44" applyFont="1" applyFill="1" applyBorder="1" applyAlignment="1">
      <alignment horizontal="right"/>
    </xf>
    <xf numFmtId="43" fontId="67" fillId="0" borderId="20" xfId="0" applyNumberFormat="1" applyFont="1" applyFill="1" applyBorder="1" applyAlignment="1">
      <alignment horizontal="right"/>
    </xf>
    <xf numFmtId="43" fontId="67" fillId="0" borderId="36" xfId="42" applyFont="1" applyBorder="1" applyAlignment="1">
      <alignment horizontal="right"/>
    </xf>
    <xf numFmtId="169" fontId="37" fillId="0" borderId="24" xfId="58" applyNumberFormat="1" applyFont="1" applyFill="1" applyBorder="1" applyAlignment="1">
      <alignment horizontal="right"/>
      <protection/>
    </xf>
    <xf numFmtId="43" fontId="38" fillId="0" borderId="20" xfId="42" applyFont="1" applyFill="1" applyBorder="1" applyAlignment="1">
      <alignment horizontal="right"/>
    </xf>
    <xf numFmtId="164" fontId="12" fillId="0" borderId="20" xfId="58" applyNumberFormat="1" applyFont="1" applyFill="1" applyBorder="1" applyAlignment="1">
      <alignment horizontal="right"/>
      <protection/>
    </xf>
    <xf numFmtId="164" fontId="37" fillId="0" borderId="22" xfId="58" applyNumberFormat="1" applyFont="1" applyFill="1" applyBorder="1" applyAlignment="1">
      <alignment horizontal="right"/>
      <protection/>
    </xf>
    <xf numFmtId="40" fontId="38" fillId="0" borderId="22" xfId="58" applyNumberFormat="1" applyFont="1" applyFill="1" applyBorder="1" applyAlignment="1">
      <alignment horizontal="right"/>
      <protection/>
    </xf>
    <xf numFmtId="4" fontId="38" fillId="0" borderId="24" xfId="58" applyNumberFormat="1" applyFont="1" applyFill="1" applyBorder="1" applyAlignment="1">
      <alignment horizontal="right"/>
      <protection/>
    </xf>
    <xf numFmtId="164" fontId="37" fillId="0" borderId="32" xfId="58" applyNumberFormat="1" applyFont="1" applyFill="1" applyBorder="1" applyAlignment="1">
      <alignment horizontal="right"/>
      <protection/>
    </xf>
    <xf numFmtId="0" fontId="68" fillId="0" borderId="25" xfId="0" applyFont="1" applyBorder="1" applyAlignment="1">
      <alignment/>
    </xf>
    <xf numFmtId="43" fontId="68" fillId="0" borderId="27" xfId="42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7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7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28575</xdr:rowOff>
    </xdr:from>
    <xdr:to>
      <xdr:col>1</xdr:col>
      <xdr:colOff>2943225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0" y="28575"/>
          <a:ext cx="1362075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7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5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7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28575</xdr:rowOff>
    </xdr:from>
    <xdr:to>
      <xdr:col>0</xdr:col>
      <xdr:colOff>1809750</xdr:colOff>
      <xdr:row>2</xdr:row>
      <xdr:rowOff>219075</xdr:rowOff>
    </xdr:to>
    <xdr:pic>
      <xdr:nvPicPr>
        <xdr:cNvPr id="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1314450" cy="6762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E108">
      <pane ySplit="375" topLeftCell="A103" activePane="bottomLeft" state="split"/>
      <selection pane="topLeft" activeCell="A108" sqref="A1:A16384"/>
      <selection pane="bottomLeft" activeCell="A1" sqref="A1:G124"/>
    </sheetView>
  </sheetViews>
  <sheetFormatPr defaultColWidth="9.140625" defaultRowHeight="15"/>
  <cols>
    <col min="1" max="1" width="40.00390625" style="21" customWidth="1"/>
    <col min="2" max="2" width="17.57421875" style="21" customWidth="1"/>
    <col min="3" max="3" width="18.57421875" style="21" customWidth="1"/>
    <col min="4" max="4" width="15.57421875" style="21" customWidth="1"/>
    <col min="5" max="5" width="20.8515625" style="21" bestFit="1" customWidth="1"/>
    <col min="6" max="6" width="12.421875" style="21" customWidth="1"/>
    <col min="7" max="7" width="17.140625" style="21" customWidth="1"/>
    <col min="8" max="8" width="16.421875" style="21" customWidth="1"/>
    <col min="9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27"/>
      <c r="E2" s="3"/>
      <c r="F2" s="8"/>
      <c r="G2" s="3"/>
    </row>
    <row r="3" spans="1:7" ht="18">
      <c r="A3" s="13"/>
      <c r="B3" s="132" t="s">
        <v>100</v>
      </c>
      <c r="C3" s="132"/>
      <c r="D3" s="28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88</v>
      </c>
      <c r="D6" s="9" t="s">
        <v>89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75" t="s">
        <v>103</v>
      </c>
      <c r="D7" s="112" t="s">
        <v>100</v>
      </c>
      <c r="E7" s="75" t="s">
        <v>102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0</v>
      </c>
      <c r="D11" s="6">
        <v>0</v>
      </c>
      <c r="E11" s="6">
        <f>C11+D11</f>
        <v>0</v>
      </c>
      <c r="F11" s="16">
        <f>E11/B11*100%</f>
        <v>0</v>
      </c>
      <c r="G11" s="60">
        <f>E11-B11</f>
        <v>-58200000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f>SUM(C11:C12)</f>
        <v>0</v>
      </c>
      <c r="D13" s="5">
        <f>SUM(D11:D12)</f>
        <v>0</v>
      </c>
      <c r="E13" s="5">
        <f>C13+D13</f>
        <v>0</v>
      </c>
      <c r="F13" s="20">
        <f>E13/B13*100%</f>
        <v>0</v>
      </c>
      <c r="G13" s="62">
        <f>E13-B13</f>
        <v>-90600000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0</v>
      </c>
      <c r="D17" s="6">
        <v>0</v>
      </c>
      <c r="E17" s="6">
        <f>C17+D17</f>
        <v>0</v>
      </c>
      <c r="F17" s="16">
        <f aca="true" t="shared" si="0" ref="F17:F25">E17/B17*100%</f>
        <v>0</v>
      </c>
      <c r="G17" s="60">
        <f aca="true" t="shared" si="1" ref="G17:G25">E17-B17</f>
        <v>-30000000</v>
      </c>
    </row>
    <row r="18" spans="1:7" ht="15">
      <c r="A18" s="59" t="s">
        <v>12</v>
      </c>
      <c r="B18" s="23">
        <v>10000000</v>
      </c>
      <c r="C18" s="6">
        <v>0</v>
      </c>
      <c r="D18" s="6">
        <v>90000</v>
      </c>
      <c r="E18" s="6">
        <f aca="true" t="shared" si="2" ref="E18:E25">C18+D18</f>
        <v>90000</v>
      </c>
      <c r="F18" s="16">
        <f t="shared" si="0"/>
        <v>0.009</v>
      </c>
      <c r="G18" s="60">
        <f t="shared" si="1"/>
        <v>-9910000</v>
      </c>
    </row>
    <row r="19" spans="1:7" ht="15">
      <c r="A19" s="59" t="s">
        <v>13</v>
      </c>
      <c r="B19" s="23">
        <v>40156000</v>
      </c>
      <c r="C19" s="6">
        <v>0</v>
      </c>
      <c r="D19" s="6">
        <v>710000</v>
      </c>
      <c r="E19" s="6">
        <f t="shared" si="2"/>
        <v>710000</v>
      </c>
      <c r="F19" s="16">
        <f t="shared" si="0"/>
        <v>0.017681043928678156</v>
      </c>
      <c r="G19" s="60">
        <f t="shared" si="1"/>
        <v>-39446000</v>
      </c>
    </row>
    <row r="20" spans="1:7" ht="15">
      <c r="A20" s="59" t="s">
        <v>91</v>
      </c>
      <c r="B20" s="23">
        <v>1461910000</v>
      </c>
      <c r="C20" s="6">
        <v>0</v>
      </c>
      <c r="D20" s="6">
        <v>365228397.84</v>
      </c>
      <c r="E20" s="6">
        <f t="shared" si="2"/>
        <v>365228397.84</v>
      </c>
      <c r="F20" s="16">
        <f t="shared" si="0"/>
        <v>0.24982960499620357</v>
      </c>
      <c r="G20" s="60">
        <f t="shared" si="1"/>
        <v>-1096681602.16</v>
      </c>
    </row>
    <row r="21" spans="1:7" ht="15.75" customHeight="1">
      <c r="A21" s="59" t="s">
        <v>81</v>
      </c>
      <c r="B21" s="23">
        <v>14600000</v>
      </c>
      <c r="C21" s="6">
        <v>0</v>
      </c>
      <c r="D21" s="6">
        <v>1215800</v>
      </c>
      <c r="E21" s="6">
        <f t="shared" si="2"/>
        <v>1215800</v>
      </c>
      <c r="F21" s="16">
        <f t="shared" si="0"/>
        <v>0.08327397260273972</v>
      </c>
      <c r="G21" s="60">
        <f t="shared" si="1"/>
        <v>-13384200</v>
      </c>
    </row>
    <row r="22" spans="1:7" ht="15">
      <c r="A22" s="59" t="s">
        <v>14</v>
      </c>
      <c r="B22" s="23">
        <v>2616666835</v>
      </c>
      <c r="C22" s="6">
        <v>0</v>
      </c>
      <c r="D22" s="6">
        <v>220358964.87</v>
      </c>
      <c r="E22" s="6">
        <f t="shared" si="2"/>
        <v>220358964.87</v>
      </c>
      <c r="F22" s="16">
        <f t="shared" si="0"/>
        <v>0.08421361173020714</v>
      </c>
      <c r="G22" s="60">
        <f t="shared" si="1"/>
        <v>-2396307870.13</v>
      </c>
    </row>
    <row r="23" spans="1:7" ht="15">
      <c r="A23" s="59" t="s">
        <v>15</v>
      </c>
      <c r="B23" s="23">
        <v>9600000</v>
      </c>
      <c r="C23" s="6">
        <v>0</v>
      </c>
      <c r="D23" s="6">
        <v>2130000</v>
      </c>
      <c r="E23" s="6">
        <f t="shared" si="2"/>
        <v>2130000</v>
      </c>
      <c r="F23" s="16">
        <f t="shared" si="0"/>
        <v>0.221875</v>
      </c>
      <c r="G23" s="60">
        <f t="shared" si="1"/>
        <v>-7470000</v>
      </c>
    </row>
    <row r="24" spans="1:7" ht="15">
      <c r="A24" s="59" t="s">
        <v>16</v>
      </c>
      <c r="B24" s="23">
        <v>1396060000</v>
      </c>
      <c r="C24" s="6">
        <v>0</v>
      </c>
      <c r="D24" s="6">
        <f>96713750+109051000</f>
        <v>205764750</v>
      </c>
      <c r="E24" s="6">
        <f t="shared" si="2"/>
        <v>205764750</v>
      </c>
      <c r="F24" s="16">
        <f t="shared" si="0"/>
        <v>0.14738961792473104</v>
      </c>
      <c r="G24" s="60">
        <f t="shared" si="1"/>
        <v>-1190295250</v>
      </c>
    </row>
    <row r="25" spans="1:7" ht="15">
      <c r="A25" s="58" t="s">
        <v>17</v>
      </c>
      <c r="B25" s="5">
        <f>SUM(B17:B24)</f>
        <v>5578992835</v>
      </c>
      <c r="C25" s="5">
        <f>SUM(C17:C24)</f>
        <v>0</v>
      </c>
      <c r="D25" s="5">
        <f>SUM(D17:D24)</f>
        <v>795497912.71</v>
      </c>
      <c r="E25" s="5">
        <f t="shared" si="2"/>
        <v>795497912.71</v>
      </c>
      <c r="F25" s="20">
        <f t="shared" si="0"/>
        <v>0.14258808645879897</v>
      </c>
      <c r="G25" s="62">
        <f t="shared" si="1"/>
        <v>-4783494922.29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0</v>
      </c>
      <c r="D28" s="6">
        <v>0</v>
      </c>
      <c r="E28" s="6">
        <f>C28+D28</f>
        <v>0</v>
      </c>
      <c r="F28" s="16">
        <f>E28/B28*100%</f>
        <v>0</v>
      </c>
      <c r="G28" s="60">
        <f>E28-B28</f>
        <v>-3000000</v>
      </c>
    </row>
    <row r="29" spans="1:7" ht="15">
      <c r="A29" s="58" t="s">
        <v>19</v>
      </c>
      <c r="B29" s="5">
        <f>SUM(B28)</f>
        <v>3000000</v>
      </c>
      <c r="C29" s="5">
        <f>SUM(C28)</f>
        <v>0</v>
      </c>
      <c r="D29" s="5">
        <f>SUM(D28)</f>
        <v>0</v>
      </c>
      <c r="E29" s="5">
        <f>C29+D29</f>
        <v>0</v>
      </c>
      <c r="F29" s="20">
        <f>E29/B29*100%</f>
        <v>0</v>
      </c>
      <c r="G29" s="62">
        <f>E29-B29</f>
        <v>-3000000</v>
      </c>
    </row>
    <row r="30" spans="1:7" ht="15">
      <c r="A30" s="58" t="s">
        <v>20</v>
      </c>
      <c r="B30" s="5">
        <f>B13+B25+B29</f>
        <v>5672592835</v>
      </c>
      <c r="C30" s="5">
        <f>C29+C25+C13</f>
        <v>0</v>
      </c>
      <c r="D30" s="5">
        <f>D29+D25+D13</f>
        <v>795497912.71</v>
      </c>
      <c r="E30" s="5">
        <f>E29+E25+E13</f>
        <v>795497912.71</v>
      </c>
      <c r="F30" s="20">
        <f>E30/B30*100%</f>
        <v>0.14023532727428692</v>
      </c>
      <c r="G30" s="62">
        <f>E30-B30</f>
        <v>-4877094922.29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0</v>
      </c>
      <c r="D35" s="6">
        <v>39520000</v>
      </c>
      <c r="E35" s="6">
        <f>C35+D35</f>
        <v>39520000</v>
      </c>
      <c r="F35" s="16">
        <f>E35/B35*100%</f>
        <v>0.1542544886807182</v>
      </c>
      <c r="G35" s="60">
        <f>E35-B35</f>
        <v>-216680000</v>
      </c>
    </row>
    <row r="36" spans="1:7" ht="15">
      <c r="A36" s="59" t="s">
        <v>24</v>
      </c>
      <c r="B36" s="23">
        <v>39600000</v>
      </c>
      <c r="C36" s="6">
        <v>0</v>
      </c>
      <c r="D36" s="6">
        <v>0</v>
      </c>
      <c r="E36" s="6">
        <f>C36+D36</f>
        <v>0</v>
      </c>
      <c r="F36" s="16">
        <f>E36/B36*100%</f>
        <v>0</v>
      </c>
      <c r="G36" s="60">
        <f>E36-B36</f>
        <v>-39600000</v>
      </c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0</v>
      </c>
      <c r="D38" s="6">
        <v>0</v>
      </c>
      <c r="E38" s="6">
        <f>C38+D38</f>
        <v>0</v>
      </c>
      <c r="F38" s="16">
        <f>E38/B38*100%</f>
        <v>0</v>
      </c>
      <c r="G38" s="60">
        <f>E38-B38</f>
        <v>-208777000</v>
      </c>
    </row>
    <row r="39" spans="1:7" ht="15">
      <c r="A39" s="58" t="s">
        <v>26</v>
      </c>
      <c r="B39" s="5">
        <f>SUM(B35:B38)</f>
        <v>512577000</v>
      </c>
      <c r="C39" s="5">
        <f>SUM(C35:C38)</f>
        <v>0</v>
      </c>
      <c r="D39" s="5">
        <f>SUM(D35:D38)</f>
        <v>39520000</v>
      </c>
      <c r="E39" s="5">
        <f>SUM(E35:E38)</f>
        <v>39520000</v>
      </c>
      <c r="F39" s="20">
        <f>E39/B39*100%</f>
        <v>0.07710061122524031</v>
      </c>
      <c r="G39" s="62">
        <f>E39-B39</f>
        <v>-473057000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0</v>
      </c>
      <c r="D42" s="36">
        <v>0</v>
      </c>
      <c r="E42" s="6">
        <f>C42+D42</f>
        <v>0</v>
      </c>
      <c r="F42" s="16">
        <f>E42/B42*100%</f>
        <v>0</v>
      </c>
      <c r="G42" s="60">
        <f>E42-B42</f>
        <v>-520410000</v>
      </c>
    </row>
    <row r="43" spans="1:7" ht="15">
      <c r="A43" s="58" t="s">
        <v>29</v>
      </c>
      <c r="B43" s="5">
        <f>SUM(B42)</f>
        <v>520410000</v>
      </c>
      <c r="C43" s="5">
        <f>SUM(C42)</f>
        <v>0</v>
      </c>
      <c r="D43" s="5">
        <f>SUM(D42)</f>
        <v>0</v>
      </c>
      <c r="E43" s="5">
        <f>SUM(E42)</f>
        <v>0</v>
      </c>
      <c r="F43" s="20">
        <f>E43/B43*100%</f>
        <v>0</v>
      </c>
      <c r="G43" s="62">
        <f>E43-B43</f>
        <v>-520410000</v>
      </c>
    </row>
    <row r="44" spans="1:7" ht="15">
      <c r="A44" s="59"/>
      <c r="B44" s="6"/>
      <c r="C44" s="6"/>
      <c r="D44" s="6"/>
      <c r="E44" s="6"/>
      <c r="F44" s="16"/>
      <c r="G44" s="60"/>
    </row>
    <row r="45" spans="1:8" ht="15">
      <c r="A45" s="58" t="s">
        <v>30</v>
      </c>
      <c r="B45" s="12"/>
      <c r="C45" s="12"/>
      <c r="D45" s="12"/>
      <c r="E45" s="86"/>
      <c r="F45" s="16"/>
      <c r="G45" s="60"/>
      <c r="H45" s="108"/>
    </row>
    <row r="46" spans="1:7" ht="15">
      <c r="A46" s="59" t="s">
        <v>31</v>
      </c>
      <c r="B46" s="23">
        <v>147700000</v>
      </c>
      <c r="C46" s="6">
        <v>0</v>
      </c>
      <c r="D46" s="6">
        <v>50000000</v>
      </c>
      <c r="E46" s="6">
        <f>C46+D46</f>
        <v>50000000</v>
      </c>
      <c r="F46" s="20">
        <f>E46/B46*100%</f>
        <v>0.33852403520649965</v>
      </c>
      <c r="G46" s="62">
        <f>E46-B46</f>
        <v>-97700000</v>
      </c>
    </row>
    <row r="47" spans="1:7" ht="15.75">
      <c r="A47" s="61" t="s">
        <v>83</v>
      </c>
      <c r="B47" s="23">
        <v>12000000</v>
      </c>
      <c r="C47" s="6">
        <v>0</v>
      </c>
      <c r="D47" s="6">
        <v>6200000</v>
      </c>
      <c r="E47" s="6">
        <f>C47+D47</f>
        <v>6200000</v>
      </c>
      <c r="F47" s="20">
        <f>E47/B47*100%</f>
        <v>0.5166666666666667</v>
      </c>
      <c r="G47" s="62">
        <f>E47-B47</f>
        <v>-5800000</v>
      </c>
    </row>
    <row r="48" spans="1:7" ht="15">
      <c r="A48" s="58" t="s">
        <v>32</v>
      </c>
      <c r="B48" s="5">
        <f>SUM(B46:B47)</f>
        <v>159700000</v>
      </c>
      <c r="C48" s="5">
        <f>SUM(C46:C47)</f>
        <v>0</v>
      </c>
      <c r="D48" s="5">
        <f>SUM(D46:D47)</f>
        <v>56200000</v>
      </c>
      <c r="E48" s="5">
        <f>SUM(E46:E47)</f>
        <v>56200000</v>
      </c>
      <c r="F48" s="20">
        <f>E48/B48*100%</f>
        <v>0.3519098309329994</v>
      </c>
      <c r="G48" s="62">
        <f>E48-B48</f>
        <v>-103500000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0</v>
      </c>
      <c r="D51" s="6">
        <v>500000</v>
      </c>
      <c r="E51" s="6">
        <f>C51+D51</f>
        <v>500000</v>
      </c>
      <c r="F51" s="16">
        <f>E51/B51*100%</f>
        <v>0.03333333333333333</v>
      </c>
      <c r="G51" s="60">
        <f>E51-B51</f>
        <v>-14500000</v>
      </c>
    </row>
    <row r="52" spans="1:7" ht="15">
      <c r="A52" s="59" t="s">
        <v>35</v>
      </c>
      <c r="B52" s="23">
        <v>40000000</v>
      </c>
      <c r="C52" s="6">
        <v>0</v>
      </c>
      <c r="D52" s="6">
        <v>4570000</v>
      </c>
      <c r="E52" s="6">
        <f>C52+D52</f>
        <v>4570000</v>
      </c>
      <c r="F52" s="16">
        <f>E52/B52*100%</f>
        <v>0.11425</v>
      </c>
      <c r="G52" s="60">
        <f>E52-B52</f>
        <v>-35430000</v>
      </c>
    </row>
    <row r="53" spans="1:7" ht="15">
      <c r="A53" s="58" t="s">
        <v>36</v>
      </c>
      <c r="B53" s="5">
        <f>SUM(B51:B52)</f>
        <v>55000000</v>
      </c>
      <c r="C53" s="5">
        <v>0</v>
      </c>
      <c r="D53" s="5">
        <f>SUM(D51:D52)</f>
        <v>5070000</v>
      </c>
      <c r="E53" s="5">
        <f>SUM(E51:E52)</f>
        <v>5070000</v>
      </c>
      <c r="F53" s="20">
        <f>E53/B53*100%</f>
        <v>0.09218181818181818</v>
      </c>
      <c r="G53" s="62">
        <f>E53-B53</f>
        <v>-49930000</v>
      </c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7" ht="15">
      <c r="A55" s="58" t="s">
        <v>84</v>
      </c>
      <c r="B55" s="5"/>
      <c r="C55" s="5"/>
      <c r="D55" s="5"/>
      <c r="E55" s="5"/>
      <c r="F55" s="16"/>
      <c r="G55" s="60"/>
    </row>
    <row r="56" spans="1:7" ht="15.75">
      <c r="A56" s="61" t="s">
        <v>85</v>
      </c>
      <c r="B56" s="23">
        <v>8100000</v>
      </c>
      <c r="C56" s="6">
        <v>0</v>
      </c>
      <c r="D56" s="6">
        <v>2010500</v>
      </c>
      <c r="E56" s="6">
        <f>C56+D56</f>
        <v>2010500</v>
      </c>
      <c r="F56" s="16">
        <f>E56/B56*100%</f>
        <v>0.2482098765432099</v>
      </c>
      <c r="G56" s="60">
        <f>E56-B56</f>
        <v>-6089500</v>
      </c>
    </row>
    <row r="57" spans="1:7" ht="15.75">
      <c r="A57" s="63" t="s">
        <v>86</v>
      </c>
      <c r="B57" s="24">
        <f>SUM(B56)</f>
        <v>8100000</v>
      </c>
      <c r="C57" s="37">
        <f>SUM(C56)</f>
        <v>0</v>
      </c>
      <c r="D57" s="37">
        <f>SUM(D56)</f>
        <v>2010500</v>
      </c>
      <c r="E57" s="37">
        <f>SUM(E56)</f>
        <v>2010500</v>
      </c>
      <c r="F57" s="20">
        <f>E57/B57*100%</f>
        <v>0.2482098765432099</v>
      </c>
      <c r="G57" s="60">
        <f>E57-B57</f>
        <v>-6089500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7" ht="26.25">
      <c r="A59" s="64" t="s">
        <v>37</v>
      </c>
      <c r="B59" s="5">
        <f>B39+B43+B48+B53+B57</f>
        <v>1255787000</v>
      </c>
      <c r="C59" s="5">
        <f>C53+C48+C43+C39+C57</f>
        <v>0</v>
      </c>
      <c r="D59" s="5">
        <f>D53+D48+D43+D39+D57</f>
        <v>102800500</v>
      </c>
      <c r="E59" s="5">
        <f>E53+E48+E43+E39+E57</f>
        <v>102800500</v>
      </c>
      <c r="F59" s="20">
        <f>E59/B59*100%</f>
        <v>0.08186141439591268</v>
      </c>
      <c r="G59" s="62">
        <f>E59-B59</f>
        <v>-1152986500</v>
      </c>
    </row>
    <row r="60" spans="1:7" ht="15">
      <c r="A60" s="64"/>
      <c r="B60" s="5"/>
      <c r="C60" s="5"/>
      <c r="D60" s="5"/>
      <c r="E60" s="5"/>
      <c r="F60" s="20"/>
      <c r="G60" s="62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0</v>
      </c>
      <c r="D64" s="6">
        <v>7104000</v>
      </c>
      <c r="E64" s="6">
        <f>C64+D64</f>
        <v>7104000</v>
      </c>
      <c r="F64" s="16">
        <f>E64/B64*100%</f>
        <v>0.010928558242569688</v>
      </c>
      <c r="G64" s="60">
        <f aca="true" t="shared" si="3" ref="G64:G69">E64-B64</f>
        <v>-642936000</v>
      </c>
    </row>
    <row r="65" spans="1:7" ht="15">
      <c r="A65" s="59" t="s">
        <v>41</v>
      </c>
      <c r="B65" s="23">
        <v>192000000</v>
      </c>
      <c r="C65" s="6">
        <v>0</v>
      </c>
      <c r="D65" s="6">
        <v>65200000</v>
      </c>
      <c r="E65" s="6">
        <f>C65+D65</f>
        <v>65200000</v>
      </c>
      <c r="F65" s="16">
        <f>E65/B65*100%</f>
        <v>0.33958333333333335</v>
      </c>
      <c r="G65" s="60">
        <f t="shared" si="3"/>
        <v>-126800000</v>
      </c>
    </row>
    <row r="66" spans="1:7" ht="15">
      <c r="A66" s="59" t="s">
        <v>42</v>
      </c>
      <c r="B66" s="23">
        <v>589200000</v>
      </c>
      <c r="C66" s="6">
        <v>0</v>
      </c>
      <c r="D66" s="6">
        <v>178828000</v>
      </c>
      <c r="E66" s="6">
        <f>C66+D66</f>
        <v>178828000</v>
      </c>
      <c r="F66" s="16">
        <f>E66/B66*100%</f>
        <v>0.30350984385607604</v>
      </c>
      <c r="G66" s="60">
        <f t="shared" si="3"/>
        <v>-410372000</v>
      </c>
    </row>
    <row r="67" spans="1:7" ht="15">
      <c r="A67" s="59" t="s">
        <v>43</v>
      </c>
      <c r="B67" s="23">
        <v>20400000</v>
      </c>
      <c r="C67" s="6">
        <v>0</v>
      </c>
      <c r="D67" s="6">
        <v>2866500</v>
      </c>
      <c r="E67" s="6">
        <f>C67+D67</f>
        <v>2866500</v>
      </c>
      <c r="F67" s="16">
        <f>E67/B67*100%</f>
        <v>0.14051470588235293</v>
      </c>
      <c r="G67" s="60">
        <f t="shared" si="3"/>
        <v>-17533500</v>
      </c>
    </row>
    <row r="68" spans="1:7" ht="15.75">
      <c r="A68" s="61" t="s">
        <v>87</v>
      </c>
      <c r="B68" s="23">
        <v>10800000</v>
      </c>
      <c r="C68" s="29">
        <v>0</v>
      </c>
      <c r="D68" s="6">
        <v>1250000</v>
      </c>
      <c r="E68" s="6">
        <f>C68+D68</f>
        <v>1250000</v>
      </c>
      <c r="F68" s="16">
        <v>0</v>
      </c>
      <c r="G68" s="60">
        <f t="shared" si="3"/>
        <v>-9550000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0</v>
      </c>
      <c r="D69" s="5">
        <f>SUM(D64:D68)</f>
        <v>255248500</v>
      </c>
      <c r="E69" s="5">
        <f>SUM(E64:E68)</f>
        <v>255248500</v>
      </c>
      <c r="F69" s="20">
        <f>E69/B69*100%</f>
        <v>0.17453604934219524</v>
      </c>
      <c r="G69" s="62">
        <f t="shared" si="3"/>
        <v>-1207191500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0</v>
      </c>
      <c r="D74" s="6">
        <v>0</v>
      </c>
      <c r="E74" s="6">
        <f>C74+D74</f>
        <v>0</v>
      </c>
      <c r="F74" s="16">
        <f>E74/B74*100%</f>
        <v>0</v>
      </c>
      <c r="G74" s="60">
        <f>E74-B74</f>
        <v>-462215165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0</v>
      </c>
      <c r="D76" s="5">
        <f>SUM(D74:D75)</f>
        <v>0</v>
      </c>
      <c r="E76" s="5">
        <f>SUM(E74:E75)</f>
        <v>0</v>
      </c>
      <c r="F76" s="20">
        <f>E76/B76*100%</f>
        <v>0</v>
      </c>
      <c r="G76" s="62">
        <f>E76-B76</f>
        <v>-846215165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7" ht="15">
      <c r="A79" s="59" t="s">
        <v>50</v>
      </c>
      <c r="B79" s="7">
        <v>2172844000</v>
      </c>
      <c r="C79" s="30">
        <v>0</v>
      </c>
      <c r="D79" s="30">
        <v>19161523</v>
      </c>
      <c r="E79" s="31">
        <f>C79+D79</f>
        <v>19161523</v>
      </c>
      <c r="F79" s="16">
        <f>E79/B79*100%</f>
        <v>0.008818637233045722</v>
      </c>
      <c r="G79" s="60">
        <f>E79-B79</f>
        <v>-2153682477</v>
      </c>
    </row>
    <row r="80" spans="1:7" ht="15">
      <c r="A80" s="64" t="s">
        <v>94</v>
      </c>
      <c r="B80" s="25">
        <f>B79</f>
        <v>2172844000</v>
      </c>
      <c r="C80" s="25">
        <f>C79</f>
        <v>0</v>
      </c>
      <c r="D80" s="25">
        <f>D79</f>
        <v>19161523</v>
      </c>
      <c r="E80" s="25">
        <f>E79</f>
        <v>19161523</v>
      </c>
      <c r="F80" s="20">
        <f>E80/B80*100%</f>
        <v>0.008818637233045722</v>
      </c>
      <c r="G80" s="62">
        <f>E80-B80</f>
        <v>-2153682477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0</v>
      </c>
      <c r="D82" s="32">
        <f>D80+D76</f>
        <v>19161523</v>
      </c>
      <c r="E82" s="32">
        <f>E80+E76</f>
        <v>19161523</v>
      </c>
      <c r="F82" s="20">
        <f>E82/B82*100%</f>
        <v>0.0063468524307638075</v>
      </c>
      <c r="G82" s="62">
        <f>E82-B82</f>
        <v>-2999897642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0</v>
      </c>
      <c r="D84" s="32">
        <f>D82+D69</f>
        <v>274410023</v>
      </c>
      <c r="E84" s="32">
        <f>E82+E69</f>
        <v>274410023</v>
      </c>
      <c r="F84" s="20">
        <f>E84/B84*100%</f>
        <v>0.06123174698839869</v>
      </c>
      <c r="G84" s="62">
        <f>E84-B84</f>
        <v>-4207089142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0</v>
      </c>
      <c r="D86" s="32">
        <f>D84+D59+D30</f>
        <v>1172708435.71</v>
      </c>
      <c r="E86" s="32">
        <f>E84+E59+E30</f>
        <v>1172708435.71</v>
      </c>
      <c r="F86" s="20">
        <f>E86/B86*100%</f>
        <v>0.10278009396155735</v>
      </c>
      <c r="G86" s="62">
        <f>E86-B86</f>
        <v>-10237170564.29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07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v>0</v>
      </c>
      <c r="D91" s="40">
        <f>44432000+99773000</f>
        <v>144205000</v>
      </c>
      <c r="E91" s="40">
        <f>C91+D91</f>
        <v>144205000</v>
      </c>
      <c r="F91" s="16">
        <f>E91/B91*100%</f>
        <v>0.20236145667131156</v>
      </c>
      <c r="G91" s="60">
        <f>E91-B91</f>
        <v>-568406000</v>
      </c>
    </row>
    <row r="92" spans="1:7" ht="15">
      <c r="A92" s="59" t="s">
        <v>57</v>
      </c>
      <c r="B92" s="6">
        <v>333315000</v>
      </c>
      <c r="C92" s="40">
        <v>0</v>
      </c>
      <c r="D92" s="40">
        <f>11126000+26223000+6400000</f>
        <v>43749000</v>
      </c>
      <c r="E92" s="40">
        <f aca="true" t="shared" si="4" ref="E92:E97">C92+D92</f>
        <v>43749000</v>
      </c>
      <c r="F92" s="16">
        <f aca="true" t="shared" si="5" ref="F92:F98">E92/B92*100%</f>
        <v>0.131254218982044</v>
      </c>
      <c r="G92" s="60">
        <f aca="true" t="shared" si="6" ref="G92:G98">E92-B92</f>
        <v>-289566000</v>
      </c>
    </row>
    <row r="93" spans="1:7" ht="15">
      <c r="A93" s="59" t="s">
        <v>58</v>
      </c>
      <c r="B93" s="17">
        <v>1099360000</v>
      </c>
      <c r="C93" s="40">
        <v>0</v>
      </c>
      <c r="D93" s="40">
        <f>7220000+22654000+19794000+14793000+10727000</f>
        <v>75188000</v>
      </c>
      <c r="E93" s="40">
        <f t="shared" si="4"/>
        <v>75188000</v>
      </c>
      <c r="F93" s="16">
        <f t="shared" si="5"/>
        <v>0.06839251928394702</v>
      </c>
      <c r="G93" s="60">
        <f t="shared" si="6"/>
        <v>-1024172000</v>
      </c>
    </row>
    <row r="94" spans="1:7" ht="15">
      <c r="A94" s="59" t="s">
        <v>59</v>
      </c>
      <c r="B94" s="17">
        <v>1647264000</v>
      </c>
      <c r="C94" s="40">
        <v>0</v>
      </c>
      <c r="D94" s="40">
        <f>78415000+9231000+9231000+26297000+33039000+78415000</f>
        <v>234628000</v>
      </c>
      <c r="E94" s="40">
        <f t="shared" si="4"/>
        <v>234628000</v>
      </c>
      <c r="F94" s="16">
        <f t="shared" si="5"/>
        <v>0.14243497095790353</v>
      </c>
      <c r="G94" s="60">
        <f t="shared" si="6"/>
        <v>-1412636000</v>
      </c>
    </row>
    <row r="95" spans="1:7" ht="15">
      <c r="A95" s="59" t="s">
        <v>60</v>
      </c>
      <c r="B95" s="17">
        <f>24982000+5421000</f>
        <v>30403000</v>
      </c>
      <c r="C95" s="40">
        <v>0</v>
      </c>
      <c r="D95" s="40">
        <v>904000</v>
      </c>
      <c r="E95" s="40">
        <f t="shared" si="4"/>
        <v>904000</v>
      </c>
      <c r="F95" s="16">
        <f t="shared" si="5"/>
        <v>0.0297339078380423</v>
      </c>
      <c r="G95" s="60">
        <f t="shared" si="6"/>
        <v>-29499000</v>
      </c>
    </row>
    <row r="96" spans="1:7" ht="15">
      <c r="A96" s="59" t="s">
        <v>61</v>
      </c>
      <c r="B96" s="17">
        <v>27938000</v>
      </c>
      <c r="C96" s="40">
        <v>0</v>
      </c>
      <c r="D96" s="40">
        <v>1164000</v>
      </c>
      <c r="E96" s="40">
        <f t="shared" si="4"/>
        <v>1164000</v>
      </c>
      <c r="F96" s="16">
        <f t="shared" si="5"/>
        <v>0.041663683871429595</v>
      </c>
      <c r="G96" s="60">
        <f t="shared" si="6"/>
        <v>-26774000</v>
      </c>
    </row>
    <row r="97" spans="1:7" ht="15">
      <c r="A97" s="59" t="s">
        <v>62</v>
      </c>
      <c r="B97" s="17">
        <v>17132000</v>
      </c>
      <c r="C97" s="40">
        <v>0</v>
      </c>
      <c r="D97" s="40">
        <v>714000</v>
      </c>
      <c r="E97" s="40">
        <f t="shared" si="4"/>
        <v>714000</v>
      </c>
      <c r="F97" s="16">
        <f t="shared" si="5"/>
        <v>0.04167639505019846</v>
      </c>
      <c r="G97" s="60">
        <f t="shared" si="6"/>
        <v>-16418000</v>
      </c>
    </row>
    <row r="98" spans="1:7" ht="15">
      <c r="A98" s="65" t="s">
        <v>63</v>
      </c>
      <c r="B98" s="41">
        <f>SUM(B91:B97)</f>
        <v>3868023000</v>
      </c>
      <c r="C98" s="42">
        <f>SUM(C91:C97)</f>
        <v>0</v>
      </c>
      <c r="D98" s="42">
        <f>SUM(D91:D97)</f>
        <v>500552000</v>
      </c>
      <c r="E98" s="42">
        <f>SUM(E91:E97)</f>
        <v>500552000</v>
      </c>
      <c r="F98" s="43">
        <f t="shared" si="5"/>
        <v>0.12940771034712048</v>
      </c>
      <c r="G98" s="66">
        <f t="shared" si="6"/>
        <v>-3367471000</v>
      </c>
    </row>
    <row r="99" spans="1:7" ht="15">
      <c r="A99" s="58"/>
      <c r="B99" s="5"/>
      <c r="C99" s="32"/>
      <c r="D99" s="32"/>
      <c r="E99" s="32"/>
      <c r="F99" s="20"/>
      <c r="G99" s="62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31">
        <v>0</v>
      </c>
      <c r="D101" s="85">
        <v>3189788666.89</v>
      </c>
      <c r="E101" s="31">
        <f>C101+D101</f>
        <v>3189788666.89</v>
      </c>
      <c r="F101" s="16">
        <f>E101/B101*100%</f>
        <v>0.08253125235811808</v>
      </c>
      <c r="G101" s="60">
        <f>E101-B101</f>
        <v>-35459675333.11</v>
      </c>
    </row>
    <row r="102" spans="1:7" ht="15">
      <c r="A102" s="58" t="s">
        <v>66</v>
      </c>
      <c r="B102" s="5">
        <f>SUM(B101)</f>
        <v>38649464000</v>
      </c>
      <c r="C102" s="32">
        <f>SUM(C101)</f>
        <v>0</v>
      </c>
      <c r="D102" s="32">
        <f>SUM(D101)</f>
        <v>3189788666.89</v>
      </c>
      <c r="E102" s="32">
        <f>SUM(E101)</f>
        <v>3189788666.89</v>
      </c>
      <c r="F102" s="20">
        <f>E102/B102*100%</f>
        <v>0.08253125235811808</v>
      </c>
      <c r="G102" s="62">
        <f>E102-B102</f>
        <v>-35459675333.11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0</v>
      </c>
      <c r="D104" s="32">
        <f>D102+D98</f>
        <v>3690340666.89</v>
      </c>
      <c r="E104" s="32">
        <f>E102+E98</f>
        <v>3690340666.89</v>
      </c>
      <c r="F104" s="20">
        <f>E104/B104*100%</f>
        <v>0.08679583219229302</v>
      </c>
      <c r="G104" s="62">
        <f>E104-B104</f>
        <v>-38827146333.11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7" ref="F108:F117">E108/B108*100%</f>
        <v>0</v>
      </c>
      <c r="G108" s="60">
        <f aca="true" t="shared" si="8" ref="G108:G117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0</v>
      </c>
      <c r="E109" s="31">
        <f aca="true" t="shared" si="9" ref="E109:E115">C109+D109</f>
        <v>0</v>
      </c>
      <c r="F109" s="16">
        <f t="shared" si="7"/>
        <v>0</v>
      </c>
      <c r="G109" s="60">
        <f t="shared" si="8"/>
        <v>-434189000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9"/>
        <v>0</v>
      </c>
      <c r="F110" s="16">
        <f t="shared" si="7"/>
        <v>0</v>
      </c>
      <c r="G110" s="60">
        <f t="shared" si="8"/>
        <v>-18838000</v>
      </c>
    </row>
    <row r="111" spans="1:8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9"/>
        <v>0</v>
      </c>
      <c r="F111" s="16">
        <f t="shared" si="7"/>
        <v>0</v>
      </c>
      <c r="G111" s="60">
        <f t="shared" si="8"/>
        <v>-1646097000</v>
      </c>
      <c r="H111" s="89"/>
    </row>
    <row r="112" spans="1:8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9"/>
        <v>0</v>
      </c>
      <c r="F112" s="16">
        <f t="shared" si="7"/>
        <v>0</v>
      </c>
      <c r="G112" s="60">
        <f t="shared" si="8"/>
        <v>-1151698000</v>
      </c>
      <c r="H112" s="88"/>
    </row>
    <row r="113" spans="1:8" ht="15">
      <c r="A113" s="59" t="s">
        <v>73</v>
      </c>
      <c r="B113" s="6">
        <v>85819000</v>
      </c>
      <c r="C113" s="31">
        <v>0</v>
      </c>
      <c r="D113" s="31">
        <v>0</v>
      </c>
      <c r="E113" s="31">
        <f t="shared" si="9"/>
        <v>0</v>
      </c>
      <c r="F113" s="16">
        <f t="shared" si="7"/>
        <v>0</v>
      </c>
      <c r="G113" s="60">
        <f t="shared" si="8"/>
        <v>-85819000</v>
      </c>
      <c r="H113" s="87"/>
    </row>
    <row r="114" spans="1:8" ht="15">
      <c r="A114" s="59" t="s">
        <v>104</v>
      </c>
      <c r="B114" s="6">
        <v>0</v>
      </c>
      <c r="C114" s="31"/>
      <c r="D114" s="31">
        <v>426492000</v>
      </c>
      <c r="E114" s="31">
        <f t="shared" si="9"/>
        <v>426492000</v>
      </c>
      <c r="F114" s="16">
        <v>1</v>
      </c>
      <c r="G114" s="60">
        <f t="shared" si="8"/>
        <v>426492000</v>
      </c>
      <c r="H114" s="87"/>
    </row>
    <row r="115" spans="1:8" ht="15">
      <c r="A115" s="59" t="s">
        <v>74</v>
      </c>
      <c r="B115" s="6">
        <v>32713000</v>
      </c>
      <c r="C115" s="31">
        <v>0</v>
      </c>
      <c r="D115" s="31">
        <v>0</v>
      </c>
      <c r="E115" s="31">
        <f t="shared" si="9"/>
        <v>0</v>
      </c>
      <c r="F115" s="16">
        <f t="shared" si="7"/>
        <v>0</v>
      </c>
      <c r="G115" s="60">
        <f t="shared" si="8"/>
        <v>-32713000</v>
      </c>
      <c r="H115" s="87"/>
    </row>
    <row r="116" spans="1:7" ht="20.25" customHeight="1">
      <c r="A116" s="58" t="s">
        <v>75</v>
      </c>
      <c r="B116" s="5">
        <f>SUM(B108:B115)</f>
        <v>3379769000</v>
      </c>
      <c r="C116" s="32">
        <f>SUM(C108:C115)</f>
        <v>0</v>
      </c>
      <c r="D116" s="32">
        <f>SUM(D108:D115)</f>
        <v>426492000</v>
      </c>
      <c r="E116" s="32">
        <f>SUM(E108:E115)</f>
        <v>426492000</v>
      </c>
      <c r="F116" s="20">
        <f t="shared" si="7"/>
        <v>0.1261896892953335</v>
      </c>
      <c r="G116" s="60">
        <f t="shared" si="8"/>
        <v>-2953277000</v>
      </c>
    </row>
    <row r="117" spans="1:7" ht="21" customHeight="1">
      <c r="A117" s="65" t="s">
        <v>76</v>
      </c>
      <c r="B117" s="41">
        <f>B116+B104</f>
        <v>45897256000</v>
      </c>
      <c r="C117" s="42">
        <f>C116+C104</f>
        <v>0</v>
      </c>
      <c r="D117" s="42">
        <f>D116+D104</f>
        <v>4116832666.89</v>
      </c>
      <c r="E117" s="42">
        <f>E116+E104</f>
        <v>4116832666.89</v>
      </c>
      <c r="F117" s="43">
        <f t="shared" si="7"/>
        <v>0.08969670576580874</v>
      </c>
      <c r="G117" s="66">
        <f t="shared" si="8"/>
        <v>-41780423333.11</v>
      </c>
    </row>
    <row r="118" spans="1:7" ht="21" customHeight="1">
      <c r="A118" s="1"/>
      <c r="B118" s="5"/>
      <c r="C118" s="32"/>
      <c r="D118" s="32"/>
      <c r="E118" s="32"/>
      <c r="F118" s="20"/>
      <c r="G118" s="5"/>
    </row>
    <row r="119" spans="1:7" ht="20.25" customHeight="1">
      <c r="A119" s="93" t="s">
        <v>96</v>
      </c>
      <c r="B119" s="94"/>
      <c r="C119" s="92"/>
      <c r="D119" s="92"/>
      <c r="E119" s="92"/>
      <c r="F119" s="95"/>
      <c r="G119" s="96"/>
    </row>
    <row r="120" spans="1:7" ht="20.25" customHeight="1">
      <c r="A120" s="59" t="s">
        <v>95</v>
      </c>
      <c r="B120" s="6">
        <v>0</v>
      </c>
      <c r="C120" s="31">
        <v>0</v>
      </c>
      <c r="D120" s="31">
        <v>0</v>
      </c>
      <c r="E120" s="31">
        <f>C120+D120</f>
        <v>0</v>
      </c>
      <c r="F120" s="16">
        <v>1</v>
      </c>
      <c r="G120" s="60">
        <f>E120-B120</f>
        <v>0</v>
      </c>
    </row>
    <row r="121" spans="1:7" ht="17.25" customHeight="1">
      <c r="A121" s="59" t="s">
        <v>92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21" customHeight="1" thickBot="1">
      <c r="A122" s="90" t="s">
        <v>97</v>
      </c>
      <c r="B122" s="91">
        <f>SUM(B120:B121)</f>
        <v>0</v>
      </c>
      <c r="C122" s="91">
        <v>0</v>
      </c>
      <c r="D122" s="91">
        <f>SUM(D120:D121)</f>
        <v>0</v>
      </c>
      <c r="E122" s="32">
        <f>C122+D122</f>
        <v>0</v>
      </c>
      <c r="F122" s="20">
        <v>1</v>
      </c>
      <c r="G122" s="62">
        <f>E122-B122</f>
        <v>0</v>
      </c>
    </row>
    <row r="123" spans="1:7" ht="21" customHeight="1" thickBot="1">
      <c r="A123" s="90" t="s">
        <v>98</v>
      </c>
      <c r="B123" s="91">
        <f>B116+B122</f>
        <v>3379769000</v>
      </c>
      <c r="C123" s="91">
        <f>C116+C122</f>
        <v>0</v>
      </c>
      <c r="D123" s="91">
        <f>D116+D122</f>
        <v>426492000</v>
      </c>
      <c r="E123" s="91">
        <f>E116+E122</f>
        <v>426492000</v>
      </c>
      <c r="F123" s="20">
        <f>E123/B123*100%</f>
        <v>0.1261896892953335</v>
      </c>
      <c r="G123" s="62">
        <f>E123-B123</f>
        <v>-2953277000</v>
      </c>
    </row>
    <row r="124" spans="1:7" ht="28.5" customHeight="1" thickBot="1">
      <c r="A124" s="49" t="s">
        <v>77</v>
      </c>
      <c r="B124" s="50">
        <f>B117+B86+B122</f>
        <v>57307135000</v>
      </c>
      <c r="C124" s="50">
        <f>C117+C86+C122</f>
        <v>0</v>
      </c>
      <c r="D124" s="50">
        <f>D117+D86+D122</f>
        <v>5289541102.6</v>
      </c>
      <c r="E124" s="50">
        <f>E117+E86+E122</f>
        <v>5289541102.6</v>
      </c>
      <c r="F124" s="51">
        <f>E124/B124*100%</f>
        <v>0.0923016148442947</v>
      </c>
      <c r="G124" s="52">
        <f>E124-B124</f>
        <v>-52017593897.4</v>
      </c>
    </row>
    <row r="125" spans="3:5" ht="15">
      <c r="C125" s="89"/>
      <c r="E125" s="113"/>
    </row>
    <row r="126" ht="15">
      <c r="B126" s="113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21">
      <selection activeCell="H18" sqref="H18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134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129</v>
      </c>
      <c r="D7" s="112" t="s">
        <v>135</v>
      </c>
      <c r="E7" s="75" t="s">
        <v>136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9900000</v>
      </c>
      <c r="D11" s="6">
        <f>600000+1200000</f>
        <v>1800000</v>
      </c>
      <c r="E11" s="6">
        <f>C11+D11</f>
        <v>11700000</v>
      </c>
      <c r="F11" s="16">
        <f>E11/B11*100%</f>
        <v>0.20103092783505155</v>
      </c>
      <c r="G11" s="60">
        <f>E11-B11</f>
        <v>-46500000</v>
      </c>
    </row>
    <row r="12" spans="1:7" ht="15.75">
      <c r="A12" s="61" t="s">
        <v>82</v>
      </c>
      <c r="B12" s="23">
        <v>32400000</v>
      </c>
      <c r="C12" s="6">
        <v>3410000</v>
      </c>
      <c r="D12" s="6">
        <v>0</v>
      </c>
      <c r="E12" s="6">
        <f>C12+D12</f>
        <v>3410000</v>
      </c>
      <c r="F12" s="16">
        <f>E12/B12*100%</f>
        <v>0.10524691358024692</v>
      </c>
      <c r="G12" s="60">
        <f>E12-B12</f>
        <v>-28990000</v>
      </c>
    </row>
    <row r="13" spans="1:7" ht="15">
      <c r="A13" s="58" t="s">
        <v>9</v>
      </c>
      <c r="B13" s="5">
        <f>SUM(B11:B12)</f>
        <v>90600000</v>
      </c>
      <c r="C13" s="5">
        <f>SUM(C11:C12)</f>
        <v>13310000</v>
      </c>
      <c r="D13" s="5">
        <f>SUM(D11:D12)</f>
        <v>1800000</v>
      </c>
      <c r="E13" s="5">
        <f>SUM(E11:E12)</f>
        <v>15110000</v>
      </c>
      <c r="F13" s="20">
        <f>E13/B13*100%</f>
        <v>0.16677704194260487</v>
      </c>
      <c r="G13" s="62">
        <f>E13-B13</f>
        <v>-75490000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3300000</v>
      </c>
      <c r="D17" s="6">
        <v>0</v>
      </c>
      <c r="E17" s="6">
        <f>C17+D17</f>
        <v>3300000</v>
      </c>
      <c r="F17" s="16">
        <f aca="true" t="shared" si="0" ref="F17:F26">E17/B17*100%</f>
        <v>0.11</v>
      </c>
      <c r="G17" s="60">
        <f aca="true" t="shared" si="1" ref="G17:G26">E17-B17</f>
        <v>-26700000</v>
      </c>
    </row>
    <row r="18" spans="1:7" ht="15">
      <c r="A18" s="59" t="s">
        <v>12</v>
      </c>
      <c r="B18" s="23">
        <v>10000000</v>
      </c>
      <c r="C18" s="6">
        <v>9956953</v>
      </c>
      <c r="D18" s="6">
        <v>4500</v>
      </c>
      <c r="E18" s="6">
        <f aca="true" t="shared" si="2" ref="E18:E26">C18+D18</f>
        <v>9961453</v>
      </c>
      <c r="F18" s="16">
        <f t="shared" si="0"/>
        <v>0.9961453</v>
      </c>
      <c r="G18" s="60">
        <f t="shared" si="1"/>
        <v>-38547</v>
      </c>
    </row>
    <row r="19" spans="1:7" ht="15">
      <c r="A19" s="59" t="s">
        <v>13</v>
      </c>
      <c r="B19" s="23">
        <v>40156000</v>
      </c>
      <c r="C19" s="6">
        <v>27018000</v>
      </c>
      <c r="D19" s="6">
        <f>11143700+2145000</f>
        <v>13288700</v>
      </c>
      <c r="E19" s="6">
        <f t="shared" si="2"/>
        <v>40306700</v>
      </c>
      <c r="F19" s="16">
        <f t="shared" si="0"/>
        <v>1.0037528638310589</v>
      </c>
      <c r="G19" s="60">
        <f t="shared" si="1"/>
        <v>150700</v>
      </c>
    </row>
    <row r="20" spans="1:7" ht="15">
      <c r="A20" s="59" t="s">
        <v>91</v>
      </c>
      <c r="B20" s="23">
        <v>1461910000</v>
      </c>
      <c r="C20" s="6">
        <v>1065827040.19</v>
      </c>
      <c r="D20" s="6">
        <v>68318286.91</v>
      </c>
      <c r="E20" s="6">
        <f t="shared" si="2"/>
        <v>1134145327.1000001</v>
      </c>
      <c r="F20" s="16">
        <f t="shared" si="0"/>
        <v>0.7757969554213324</v>
      </c>
      <c r="G20" s="60">
        <f t="shared" si="1"/>
        <v>-327764672.89999986</v>
      </c>
    </row>
    <row r="21" spans="1:7" ht="15.75" customHeight="1">
      <c r="A21" s="59" t="s">
        <v>81</v>
      </c>
      <c r="B21" s="23">
        <v>14600000</v>
      </c>
      <c r="C21" s="6">
        <v>10935971.11</v>
      </c>
      <c r="D21" s="6">
        <v>0</v>
      </c>
      <c r="E21" s="6">
        <f t="shared" si="2"/>
        <v>10935971.11</v>
      </c>
      <c r="F21" s="16">
        <f t="shared" si="0"/>
        <v>0.7490391171232876</v>
      </c>
      <c r="G21" s="60">
        <f t="shared" si="1"/>
        <v>-3664028.8900000006</v>
      </c>
    </row>
    <row r="22" spans="1:9" ht="15">
      <c r="A22" s="59" t="s">
        <v>14</v>
      </c>
      <c r="B22" s="23">
        <v>2616666835</v>
      </c>
      <c r="C22" s="6">
        <v>2279557913.33</v>
      </c>
      <c r="D22" s="6">
        <f>165237900.12+50000000</f>
        <v>215237900.12</v>
      </c>
      <c r="E22" s="6">
        <f t="shared" si="2"/>
        <v>2494795813.45</v>
      </c>
      <c r="F22" s="16">
        <f t="shared" si="0"/>
        <v>0.9534250903019528</v>
      </c>
      <c r="G22" s="60">
        <f t="shared" si="1"/>
        <v>-121871021.55000019</v>
      </c>
      <c r="I22" s="113"/>
    </row>
    <row r="23" spans="1:9" ht="15">
      <c r="A23" s="59" t="s">
        <v>128</v>
      </c>
      <c r="B23" s="29">
        <v>293750000</v>
      </c>
      <c r="C23" s="29">
        <v>17448619.32</v>
      </c>
      <c r="D23" s="6">
        <f>8126000+770699.68</f>
        <v>8896699.68</v>
      </c>
      <c r="E23" s="6">
        <f t="shared" si="2"/>
        <v>26345319</v>
      </c>
      <c r="F23" s="16">
        <f t="shared" si="0"/>
        <v>0.08968619234042553</v>
      </c>
      <c r="G23" s="60">
        <f t="shared" si="1"/>
        <v>-267404681</v>
      </c>
      <c r="I23" s="113"/>
    </row>
    <row r="24" spans="1:7" ht="15">
      <c r="A24" s="59" t="s">
        <v>15</v>
      </c>
      <c r="B24" s="23">
        <v>9600000</v>
      </c>
      <c r="C24" s="6">
        <v>5280000</v>
      </c>
      <c r="D24" s="6">
        <v>0</v>
      </c>
      <c r="E24" s="6">
        <f t="shared" si="2"/>
        <v>5280000</v>
      </c>
      <c r="F24" s="16">
        <f t="shared" si="0"/>
        <v>0.55</v>
      </c>
      <c r="G24" s="60">
        <f t="shared" si="1"/>
        <v>-4320000</v>
      </c>
    </row>
    <row r="25" spans="1:9" ht="15">
      <c r="A25" s="59" t="s">
        <v>16</v>
      </c>
      <c r="B25" s="23">
        <v>1396060000</v>
      </c>
      <c r="C25" s="6">
        <v>1084204400</v>
      </c>
      <c r="D25" s="6">
        <v>135359250</v>
      </c>
      <c r="E25" s="6">
        <f t="shared" si="2"/>
        <v>1219563650</v>
      </c>
      <c r="F25" s="16">
        <f t="shared" si="0"/>
        <v>0.8735753835795023</v>
      </c>
      <c r="G25" s="60">
        <f t="shared" si="1"/>
        <v>-176496350</v>
      </c>
      <c r="I25" s="113"/>
    </row>
    <row r="26" spans="1:7" ht="15">
      <c r="A26" s="58" t="s">
        <v>17</v>
      </c>
      <c r="B26" s="5">
        <f>SUM(B17:B25)</f>
        <v>5872742835</v>
      </c>
      <c r="C26" s="5">
        <f>SUM(C17:C25)</f>
        <v>4503528896.950001</v>
      </c>
      <c r="D26" s="5">
        <f>SUM(D17:D25)</f>
        <v>441105336.71</v>
      </c>
      <c r="E26" s="5">
        <f t="shared" si="2"/>
        <v>4944634233.660001</v>
      </c>
      <c r="F26" s="20">
        <f t="shared" si="0"/>
        <v>0.841963350445261</v>
      </c>
      <c r="G26" s="62">
        <f t="shared" si="1"/>
        <v>-928108601.3399992</v>
      </c>
    </row>
    <row r="27" spans="1:7" ht="15">
      <c r="A27" s="58"/>
      <c r="B27" s="5"/>
      <c r="C27" s="5"/>
      <c r="D27" s="5"/>
      <c r="E27" s="6"/>
      <c r="F27" s="16"/>
      <c r="G27" s="60"/>
    </row>
    <row r="28" spans="1:7" ht="15">
      <c r="A28" s="58" t="s">
        <v>18</v>
      </c>
      <c r="B28" s="12"/>
      <c r="C28" s="12"/>
      <c r="D28" s="12"/>
      <c r="E28" s="6"/>
      <c r="F28" s="16"/>
      <c r="G28" s="60"/>
    </row>
    <row r="29" spans="1:7" ht="15">
      <c r="A29" s="111" t="s">
        <v>12</v>
      </c>
      <c r="B29" s="23">
        <v>3000000</v>
      </c>
      <c r="C29" s="6">
        <v>2448000</v>
      </c>
      <c r="D29" s="6">
        <v>0</v>
      </c>
      <c r="E29" s="6">
        <f>C29+D29</f>
        <v>2448000</v>
      </c>
      <c r="F29" s="16">
        <f>E29/B29*100%</f>
        <v>0.816</v>
      </c>
      <c r="G29" s="60">
        <f>E29-B29</f>
        <v>-552000</v>
      </c>
    </row>
    <row r="30" spans="1:7" ht="15">
      <c r="A30" s="58" t="s">
        <v>19</v>
      </c>
      <c r="B30" s="5">
        <f>SUM(B29)</f>
        <v>3000000</v>
      </c>
      <c r="C30" s="5">
        <f>SUM(C29)</f>
        <v>2448000</v>
      </c>
      <c r="D30" s="5">
        <f>SUM(D29)</f>
        <v>0</v>
      </c>
      <c r="E30" s="5">
        <f>C30+D30</f>
        <v>2448000</v>
      </c>
      <c r="F30" s="20">
        <f>E30/B30*100%</f>
        <v>0.816</v>
      </c>
      <c r="G30" s="62">
        <f>E30-B30</f>
        <v>-552000</v>
      </c>
    </row>
    <row r="31" spans="1:7" ht="15">
      <c r="A31" s="58" t="s">
        <v>20</v>
      </c>
      <c r="B31" s="5">
        <f>B13+B26+B30</f>
        <v>5966342835</v>
      </c>
      <c r="C31" s="5">
        <f>C30+C26+C13</f>
        <v>4519286896.950001</v>
      </c>
      <c r="D31" s="5">
        <f>D30+D26+D13</f>
        <v>442905336.71</v>
      </c>
      <c r="E31" s="5">
        <f>E30+E26+E13</f>
        <v>4962192233.660001</v>
      </c>
      <c r="F31" s="20">
        <f>E31/B31*100%</f>
        <v>0.8316974687660571</v>
      </c>
      <c r="G31" s="62">
        <f>E31-B31</f>
        <v>-1004150601.3399992</v>
      </c>
    </row>
    <row r="32" spans="1:7" ht="15">
      <c r="A32" s="58"/>
      <c r="B32" s="5"/>
      <c r="C32" s="5"/>
      <c r="D32" s="5"/>
      <c r="E32" s="5"/>
      <c r="F32" s="20"/>
      <c r="G32" s="62"/>
    </row>
    <row r="33" spans="1:7" ht="15">
      <c r="A33" s="59"/>
      <c r="B33" s="6"/>
      <c r="C33" s="6"/>
      <c r="D33" s="6"/>
      <c r="E33" s="6"/>
      <c r="F33" s="16"/>
      <c r="G33" s="60"/>
    </row>
    <row r="34" spans="1:7" ht="15">
      <c r="A34" s="58" t="s">
        <v>21</v>
      </c>
      <c r="B34" s="4"/>
      <c r="C34" s="12"/>
      <c r="D34" s="110"/>
      <c r="E34" s="6"/>
      <c r="F34" s="16"/>
      <c r="G34" s="60"/>
    </row>
    <row r="35" spans="1:7" ht="15">
      <c r="A35" s="58" t="s">
        <v>22</v>
      </c>
      <c r="B35" s="4"/>
      <c r="C35" s="12"/>
      <c r="D35" s="12"/>
      <c r="E35" s="6"/>
      <c r="F35" s="16"/>
      <c r="G35" s="60"/>
    </row>
    <row r="36" spans="1:7" ht="15">
      <c r="A36" s="59" t="s">
        <v>23</v>
      </c>
      <c r="B36" s="23">
        <v>256200000</v>
      </c>
      <c r="C36" s="6">
        <v>180517940</v>
      </c>
      <c r="D36" s="6">
        <v>17898400</v>
      </c>
      <c r="E36" s="6">
        <f>C36+D36</f>
        <v>198416340</v>
      </c>
      <c r="F36" s="16">
        <f>E36/B36*100%</f>
        <v>0.7744587822014052</v>
      </c>
      <c r="G36" s="60">
        <f>E36-B36</f>
        <v>-57783660</v>
      </c>
    </row>
    <row r="37" spans="1:9" ht="15">
      <c r="A37" s="59" t="s">
        <v>24</v>
      </c>
      <c r="B37" s="23">
        <v>39600000</v>
      </c>
      <c r="C37" s="6">
        <v>16806235</v>
      </c>
      <c r="D37" s="6">
        <v>5863950</v>
      </c>
      <c r="E37" s="6">
        <f>C37+D37</f>
        <v>22670185</v>
      </c>
      <c r="F37" s="16">
        <f>E37/B37*100%</f>
        <v>0.5724794191919191</v>
      </c>
      <c r="G37" s="60">
        <f>E37-B37</f>
        <v>-16929815</v>
      </c>
      <c r="I37" s="113"/>
    </row>
    <row r="38" spans="1:7" ht="15">
      <c r="A38" s="59" t="s">
        <v>101</v>
      </c>
      <c r="B38" s="23">
        <v>8000000</v>
      </c>
      <c r="C38" s="6">
        <v>0</v>
      </c>
      <c r="D38" s="6">
        <v>0</v>
      </c>
      <c r="E38" s="6">
        <f>C38+D38</f>
        <v>0</v>
      </c>
      <c r="F38" s="16">
        <f>E38/B38*100%</f>
        <v>0</v>
      </c>
      <c r="G38" s="60">
        <f>E38-B38</f>
        <v>-8000000</v>
      </c>
    </row>
    <row r="39" spans="1:7" ht="15">
      <c r="A39" s="59" t="s">
        <v>25</v>
      </c>
      <c r="B39" s="23">
        <v>208777000</v>
      </c>
      <c r="C39" s="36">
        <v>94723400</v>
      </c>
      <c r="D39" s="6">
        <v>14351000</v>
      </c>
      <c r="E39" s="6">
        <f>C39+D39</f>
        <v>109074400</v>
      </c>
      <c r="F39" s="16">
        <f>E39/B39*100%</f>
        <v>0.5224445221456386</v>
      </c>
      <c r="G39" s="60">
        <f>E39-B39</f>
        <v>-99702600</v>
      </c>
    </row>
    <row r="40" spans="1:7" ht="15">
      <c r="A40" s="58" t="s">
        <v>26</v>
      </c>
      <c r="B40" s="5">
        <f>SUM(B36:B39)</f>
        <v>512577000</v>
      </c>
      <c r="C40" s="5">
        <f>SUM(C36:C39)</f>
        <v>292047575</v>
      </c>
      <c r="D40" s="5">
        <f>SUM(D36:D39)</f>
        <v>38113350</v>
      </c>
      <c r="E40" s="5">
        <f>SUM(E36:E39)</f>
        <v>330160925</v>
      </c>
      <c r="F40" s="20">
        <f>E40/B40*100%</f>
        <v>0.6441196639724374</v>
      </c>
      <c r="G40" s="62">
        <f>E40-B40</f>
        <v>-182416075</v>
      </c>
    </row>
    <row r="41" spans="1:7" ht="15">
      <c r="A41" s="1"/>
      <c r="B41" s="5"/>
      <c r="C41" s="5"/>
      <c r="D41" s="5"/>
      <c r="E41" s="5"/>
      <c r="F41" s="20"/>
      <c r="G41" s="62"/>
    </row>
    <row r="42" spans="1:7" ht="15">
      <c r="A42" s="1" t="s">
        <v>27</v>
      </c>
      <c r="B42" s="12"/>
      <c r="C42" s="12"/>
      <c r="D42" s="12"/>
      <c r="E42" s="6"/>
      <c r="F42" s="16"/>
      <c r="G42" s="60"/>
    </row>
    <row r="43" spans="1:7" ht="15">
      <c r="A43" s="59" t="s">
        <v>28</v>
      </c>
      <c r="B43" s="23">
        <v>520410000</v>
      </c>
      <c r="C43" s="36">
        <v>387741000</v>
      </c>
      <c r="D43" s="36">
        <v>0</v>
      </c>
      <c r="E43" s="6">
        <f>C43+D43</f>
        <v>387741000</v>
      </c>
      <c r="F43" s="16">
        <f>E43/B43*100%</f>
        <v>0.7450683115236064</v>
      </c>
      <c r="G43" s="60">
        <f>E43-B43</f>
        <v>-132669000</v>
      </c>
    </row>
    <row r="44" spans="1:7" ht="15">
      <c r="A44" s="58" t="s">
        <v>29</v>
      </c>
      <c r="B44" s="5">
        <f>SUM(B43)</f>
        <v>520410000</v>
      </c>
      <c r="C44" s="5">
        <f>SUM(C43)</f>
        <v>387741000</v>
      </c>
      <c r="D44" s="5">
        <f>SUM(D43)</f>
        <v>0</v>
      </c>
      <c r="E44" s="5">
        <f>SUM(E43)</f>
        <v>387741000</v>
      </c>
      <c r="F44" s="20">
        <f>E44/B44*100%</f>
        <v>0.7450683115236064</v>
      </c>
      <c r="G44" s="62">
        <f>E44-B44</f>
        <v>-132669000</v>
      </c>
    </row>
    <row r="45" spans="1:9" ht="15">
      <c r="A45" s="59"/>
      <c r="B45" s="6"/>
      <c r="C45" s="6"/>
      <c r="D45" s="6"/>
      <c r="E45" s="6"/>
      <c r="F45" s="16"/>
      <c r="G45" s="60"/>
      <c r="I45" s="128"/>
    </row>
    <row r="46" spans="1:7" ht="15">
      <c r="A46" s="58" t="s">
        <v>30</v>
      </c>
      <c r="B46" s="12"/>
      <c r="C46" s="12"/>
      <c r="D46" s="12"/>
      <c r="E46" s="86"/>
      <c r="F46" s="16"/>
      <c r="G46" s="60"/>
    </row>
    <row r="47" spans="1:7" ht="15">
      <c r="A47" s="59" t="s">
        <v>31</v>
      </c>
      <c r="B47" s="23">
        <v>147700000</v>
      </c>
      <c r="C47" s="6">
        <v>129920000</v>
      </c>
      <c r="D47" s="6">
        <v>0</v>
      </c>
      <c r="E47" s="6">
        <f>C47+D47</f>
        <v>129920000</v>
      </c>
      <c r="F47" s="20">
        <f>E47/B47*100%</f>
        <v>0.8796208530805687</v>
      </c>
      <c r="G47" s="62">
        <f>E47-B47</f>
        <v>-17780000</v>
      </c>
    </row>
    <row r="48" spans="1:7" ht="15.75">
      <c r="A48" s="61" t="s">
        <v>83</v>
      </c>
      <c r="B48" s="23">
        <v>12000000</v>
      </c>
      <c r="C48" s="6">
        <v>14950000</v>
      </c>
      <c r="D48" s="6">
        <v>0</v>
      </c>
      <c r="E48" s="6">
        <f>C48+D48</f>
        <v>14950000</v>
      </c>
      <c r="F48" s="20">
        <f>E48/B48*100%</f>
        <v>1.2458333333333333</v>
      </c>
      <c r="G48" s="62">
        <f>E48-B48</f>
        <v>2950000</v>
      </c>
    </row>
    <row r="49" spans="1:7" ht="15">
      <c r="A49" s="58" t="s">
        <v>32</v>
      </c>
      <c r="B49" s="5">
        <f>SUM(B47:B48)</f>
        <v>159700000</v>
      </c>
      <c r="C49" s="5">
        <f>SUM(C47:C48)</f>
        <v>144870000</v>
      </c>
      <c r="D49" s="5">
        <f>SUM(D47:D48)</f>
        <v>0</v>
      </c>
      <c r="E49" s="5">
        <f>SUM(E47:E48)</f>
        <v>144870000</v>
      </c>
      <c r="F49" s="20">
        <f>E49/B49*100%</f>
        <v>0.9071383844708829</v>
      </c>
      <c r="G49" s="62">
        <f>E49-B49</f>
        <v>-14830000</v>
      </c>
    </row>
    <row r="50" spans="1:7" ht="15">
      <c r="A50" s="59"/>
      <c r="B50" s="6"/>
      <c r="C50" s="6"/>
      <c r="D50" s="6"/>
      <c r="E50" s="6"/>
      <c r="F50" s="16"/>
      <c r="G50" s="60"/>
    </row>
    <row r="51" spans="1:7" ht="15">
      <c r="A51" s="58" t="s">
        <v>33</v>
      </c>
      <c r="B51" s="12"/>
      <c r="C51" s="12"/>
      <c r="D51" s="18"/>
      <c r="E51" s="6"/>
      <c r="F51" s="16"/>
      <c r="G51" s="60"/>
    </row>
    <row r="52" spans="1:7" ht="15">
      <c r="A52" s="59" t="s">
        <v>34</v>
      </c>
      <c r="B52" s="23">
        <v>15000000</v>
      </c>
      <c r="C52" s="6">
        <v>17810009</v>
      </c>
      <c r="D52" s="6">
        <v>4739900</v>
      </c>
      <c r="E52" s="6">
        <f>C52+D52</f>
        <v>22549909</v>
      </c>
      <c r="F52" s="16">
        <f>E52/B52*100%</f>
        <v>1.5033272666666666</v>
      </c>
      <c r="G52" s="60">
        <f>E52-B52</f>
        <v>7549909</v>
      </c>
    </row>
    <row r="53" spans="1:9" ht="15">
      <c r="A53" s="59" t="s">
        <v>35</v>
      </c>
      <c r="B53" s="23">
        <v>40000000</v>
      </c>
      <c r="C53" s="6">
        <v>42360000</v>
      </c>
      <c r="D53" s="6">
        <v>0</v>
      </c>
      <c r="E53" s="6">
        <f>C53+D53</f>
        <v>42360000</v>
      </c>
      <c r="F53" s="16">
        <f>E53/B53*100%</f>
        <v>1.059</v>
      </c>
      <c r="G53" s="60">
        <f>E53-B53</f>
        <v>2360000</v>
      </c>
      <c r="I53" s="128"/>
    </row>
    <row r="54" spans="1:9" ht="15">
      <c r="A54" s="58" t="s">
        <v>36</v>
      </c>
      <c r="B54" s="5">
        <f>SUM(B52:B53)</f>
        <v>55000000</v>
      </c>
      <c r="C54" s="5">
        <f>SUM(C52:C53)</f>
        <v>60170009</v>
      </c>
      <c r="D54" s="5">
        <f>SUM(D52:D53)</f>
        <v>4739900</v>
      </c>
      <c r="E54" s="5">
        <f>SUM(E52:E53)</f>
        <v>64909909</v>
      </c>
      <c r="F54" s="20">
        <f>E54/B54*100%</f>
        <v>1.1801801636363636</v>
      </c>
      <c r="G54" s="62">
        <f>E54-B54</f>
        <v>9909909</v>
      </c>
      <c r="I54" s="88"/>
    </row>
    <row r="55" spans="1:7" ht="15">
      <c r="A55" s="58"/>
      <c r="B55" s="5"/>
      <c r="C55" s="5">
        <v>0</v>
      </c>
      <c r="D55" s="5"/>
      <c r="E55" s="5"/>
      <c r="F55" s="16"/>
      <c r="G55" s="60"/>
    </row>
    <row r="56" spans="1:9" ht="15">
      <c r="A56" s="58" t="s">
        <v>84</v>
      </c>
      <c r="B56" s="5"/>
      <c r="C56" s="5"/>
      <c r="D56" s="5"/>
      <c r="E56" s="5"/>
      <c r="F56" s="16"/>
      <c r="G56" s="60"/>
      <c r="I56" s="128"/>
    </row>
    <row r="57" spans="1:9" ht="15.75">
      <c r="A57" s="61" t="s">
        <v>85</v>
      </c>
      <c r="B57" s="23">
        <v>8100000</v>
      </c>
      <c r="C57" s="6">
        <v>10160000</v>
      </c>
      <c r="D57" s="6">
        <v>1130000</v>
      </c>
      <c r="E57" s="6">
        <f>C57+D57</f>
        <v>11290000</v>
      </c>
      <c r="F57" s="16">
        <f>E57/B57*100%</f>
        <v>1.3938271604938273</v>
      </c>
      <c r="G57" s="60">
        <f>E57-B57</f>
        <v>3190000</v>
      </c>
      <c r="I57" s="88"/>
    </row>
    <row r="58" spans="1:7" ht="15.75">
      <c r="A58" s="63" t="s">
        <v>86</v>
      </c>
      <c r="B58" s="24">
        <f>SUM(B57)</f>
        <v>8100000</v>
      </c>
      <c r="C58" s="37">
        <f>SUM(C57)</f>
        <v>10160000</v>
      </c>
      <c r="D58" s="37">
        <f>SUM(D57)</f>
        <v>1130000</v>
      </c>
      <c r="E58" s="37">
        <f>SUM(E57)</f>
        <v>11290000</v>
      </c>
      <c r="F58" s="20">
        <f>E58/B58*100%</f>
        <v>1.3938271604938273</v>
      </c>
      <c r="G58" s="60">
        <f>E58-B58</f>
        <v>3190000</v>
      </c>
    </row>
    <row r="59" spans="1:7" ht="15">
      <c r="A59" s="59"/>
      <c r="B59" s="6"/>
      <c r="C59" s="6"/>
      <c r="D59" s="6"/>
      <c r="E59" s="6"/>
      <c r="F59" s="16"/>
      <c r="G59" s="60"/>
    </row>
    <row r="60" spans="1:9" ht="26.25">
      <c r="A60" s="64" t="s">
        <v>37</v>
      </c>
      <c r="B60" s="5">
        <f>B40+B44+B49+B54+B58</f>
        <v>1255787000</v>
      </c>
      <c r="C60" s="5">
        <f>C54+C49+C44+C40+C58</f>
        <v>894988584</v>
      </c>
      <c r="D60" s="5">
        <f>D54+D49+D44+D40+D58</f>
        <v>43983250</v>
      </c>
      <c r="E60" s="5">
        <f>E54+E49+E44+E40+E58</f>
        <v>938971834</v>
      </c>
      <c r="F60" s="20">
        <f>E60/B60*100%</f>
        <v>0.7477158419381631</v>
      </c>
      <c r="G60" s="62">
        <f>E60-B60</f>
        <v>-316815166</v>
      </c>
      <c r="I60" s="88"/>
    </row>
    <row r="61" spans="1:9" ht="15">
      <c r="A61" s="64"/>
      <c r="B61" s="5"/>
      <c r="C61" s="5"/>
      <c r="D61" s="5"/>
      <c r="E61" s="5"/>
      <c r="F61" s="20"/>
      <c r="G61" s="62"/>
      <c r="I61" s="128"/>
    </row>
    <row r="62" spans="1:7" ht="15">
      <c r="A62" s="64"/>
      <c r="B62" s="5"/>
      <c r="C62" s="5"/>
      <c r="D62" s="5"/>
      <c r="E62" s="5"/>
      <c r="F62" s="20"/>
      <c r="G62" s="62"/>
    </row>
    <row r="63" spans="1:7" ht="15">
      <c r="A63" s="58" t="s">
        <v>38</v>
      </c>
      <c r="B63" s="4"/>
      <c r="C63" s="12"/>
      <c r="D63" s="18"/>
      <c r="E63" s="6"/>
      <c r="F63" s="16"/>
      <c r="G63" s="60"/>
    </row>
    <row r="64" spans="1:7" ht="15">
      <c r="A64" s="58" t="s">
        <v>39</v>
      </c>
      <c r="B64" s="4"/>
      <c r="C64" s="12"/>
      <c r="D64" s="18"/>
      <c r="E64" s="6"/>
      <c r="F64" s="16"/>
      <c r="G64" s="60"/>
    </row>
    <row r="65" spans="1:7" ht="15">
      <c r="A65" s="59" t="s">
        <v>40</v>
      </c>
      <c r="B65" s="23">
        <v>650040000</v>
      </c>
      <c r="C65" s="6">
        <v>526089185.08</v>
      </c>
      <c r="D65" s="6">
        <v>7167485</v>
      </c>
      <c r="E65" s="6">
        <f>C65+D65</f>
        <v>533256670.08</v>
      </c>
      <c r="F65" s="16">
        <f aca="true" t="shared" si="3" ref="F65:F70">E65/B65*100%</f>
        <v>0.820344394314196</v>
      </c>
      <c r="G65" s="60">
        <f aca="true" t="shared" si="4" ref="G65:G70">E65-B65</f>
        <v>-116783329.92000002</v>
      </c>
    </row>
    <row r="66" spans="1:7" ht="15">
      <c r="A66" s="59" t="s">
        <v>41</v>
      </c>
      <c r="B66" s="23">
        <v>192000000</v>
      </c>
      <c r="C66" s="6">
        <v>178379000</v>
      </c>
      <c r="D66" s="6">
        <v>0</v>
      </c>
      <c r="E66" s="6">
        <f>C66+D66</f>
        <v>178379000</v>
      </c>
      <c r="F66" s="16">
        <f t="shared" si="3"/>
        <v>0.9290572916666666</v>
      </c>
      <c r="G66" s="60">
        <f t="shared" si="4"/>
        <v>-13621000</v>
      </c>
    </row>
    <row r="67" spans="1:7" ht="15">
      <c r="A67" s="59" t="s">
        <v>42</v>
      </c>
      <c r="B67" s="23">
        <v>589200000</v>
      </c>
      <c r="C67" s="6">
        <v>501126000</v>
      </c>
      <c r="D67" s="6">
        <v>0</v>
      </c>
      <c r="E67" s="6">
        <f>C67+D67</f>
        <v>501126000</v>
      </c>
      <c r="F67" s="16">
        <f t="shared" si="3"/>
        <v>0.8505193482688391</v>
      </c>
      <c r="G67" s="60">
        <f t="shared" si="4"/>
        <v>-88074000</v>
      </c>
    </row>
    <row r="68" spans="1:7" ht="15">
      <c r="A68" s="59" t="s">
        <v>43</v>
      </c>
      <c r="B68" s="23">
        <v>20400000</v>
      </c>
      <c r="C68" s="6">
        <v>16479000</v>
      </c>
      <c r="D68" s="6">
        <v>3257000</v>
      </c>
      <c r="E68" s="6">
        <f>C68+D68</f>
        <v>19736000</v>
      </c>
      <c r="F68" s="16">
        <f t="shared" si="3"/>
        <v>0.9674509803921568</v>
      </c>
      <c r="G68" s="60">
        <f t="shared" si="4"/>
        <v>-664000</v>
      </c>
    </row>
    <row r="69" spans="1:7" ht="15.75">
      <c r="A69" s="61" t="s">
        <v>87</v>
      </c>
      <c r="B69" s="23">
        <v>10800000</v>
      </c>
      <c r="C69" s="6">
        <v>11150000</v>
      </c>
      <c r="D69" s="6">
        <v>0</v>
      </c>
      <c r="E69" s="6">
        <f>C69+D69</f>
        <v>11150000</v>
      </c>
      <c r="F69" s="16">
        <f t="shared" si="3"/>
        <v>1.0324074074074074</v>
      </c>
      <c r="G69" s="60">
        <f t="shared" si="4"/>
        <v>350000</v>
      </c>
    </row>
    <row r="70" spans="1:7" ht="15">
      <c r="A70" s="58" t="s">
        <v>93</v>
      </c>
      <c r="B70" s="5">
        <f>SUM(B65:B69)</f>
        <v>1462440000</v>
      </c>
      <c r="C70" s="5">
        <f>SUM(C65:C69)</f>
        <v>1233223185.08</v>
      </c>
      <c r="D70" s="5">
        <f>SUM(D65:D69)</f>
        <v>10424485</v>
      </c>
      <c r="E70" s="5">
        <f>SUM(E65:E69)</f>
        <v>1243647670.08</v>
      </c>
      <c r="F70" s="20">
        <f t="shared" si="3"/>
        <v>0.8503922691392467</v>
      </c>
      <c r="G70" s="62">
        <f t="shared" si="4"/>
        <v>-218792329.92000008</v>
      </c>
    </row>
    <row r="71" spans="1:7" ht="15">
      <c r="A71" s="58"/>
      <c r="B71" s="5"/>
      <c r="C71" s="5"/>
      <c r="D71" s="5"/>
      <c r="E71" s="5"/>
      <c r="F71" s="20"/>
      <c r="G71" s="62"/>
    </row>
    <row r="72" spans="1:7" ht="15.75" thickBot="1">
      <c r="A72" s="81"/>
      <c r="B72" s="82"/>
      <c r="C72" s="82"/>
      <c r="D72" s="82"/>
      <c r="E72" s="82"/>
      <c r="F72" s="83"/>
      <c r="G72" s="84"/>
    </row>
    <row r="73" spans="1:7" ht="15">
      <c r="A73" s="67" t="s">
        <v>44</v>
      </c>
      <c r="B73" s="80"/>
      <c r="C73" s="44"/>
      <c r="D73" s="44"/>
      <c r="E73" s="48"/>
      <c r="F73" s="47"/>
      <c r="G73" s="68"/>
    </row>
    <row r="74" spans="1:7" ht="15">
      <c r="A74" s="58" t="s">
        <v>45</v>
      </c>
      <c r="B74" s="4"/>
      <c r="C74" s="12"/>
      <c r="D74" s="18"/>
      <c r="E74" s="6"/>
      <c r="F74" s="16"/>
      <c r="G74" s="60"/>
    </row>
    <row r="75" spans="1:7" ht="15">
      <c r="A75" s="59" t="s">
        <v>46</v>
      </c>
      <c r="B75" s="23">
        <v>462215165</v>
      </c>
      <c r="C75" s="6">
        <v>500000000</v>
      </c>
      <c r="D75" s="6">
        <v>0</v>
      </c>
      <c r="E75" s="6">
        <f>C75+D75</f>
        <v>500000000</v>
      </c>
      <c r="F75" s="16">
        <f>E75/B75*100%</f>
        <v>1.0817472853795267</v>
      </c>
      <c r="G75" s="60">
        <f>E75-B75</f>
        <v>37784835</v>
      </c>
    </row>
    <row r="76" spans="1:7" ht="15">
      <c r="A76" s="59" t="s">
        <v>47</v>
      </c>
      <c r="B76" s="23">
        <v>384000000</v>
      </c>
      <c r="C76" s="6">
        <v>0</v>
      </c>
      <c r="D76" s="6">
        <v>32670000</v>
      </c>
      <c r="E76" s="6">
        <f>C76+D76</f>
        <v>32670000</v>
      </c>
      <c r="F76" s="16">
        <f>E76/B76*100%</f>
        <v>0.085078125</v>
      </c>
      <c r="G76" s="60">
        <f>E76-B76</f>
        <v>-351330000</v>
      </c>
    </row>
    <row r="77" spans="1:7" ht="15">
      <c r="A77" s="58" t="s">
        <v>48</v>
      </c>
      <c r="B77" s="5">
        <f>SUM(B75:B76)</f>
        <v>846215165</v>
      </c>
      <c r="C77" s="5">
        <f>SUM(C75:C76)</f>
        <v>500000000</v>
      </c>
      <c r="D77" s="5">
        <f>SUM(D75:D76)</f>
        <v>32670000</v>
      </c>
      <c r="E77" s="5">
        <f>SUM(E75:E76)</f>
        <v>532670000</v>
      </c>
      <c r="F77" s="20">
        <f>E77/B77*100%</f>
        <v>0.6294734743970228</v>
      </c>
      <c r="G77" s="62">
        <f>E77-B77</f>
        <v>-313545165</v>
      </c>
    </row>
    <row r="78" spans="1:7" ht="15">
      <c r="A78" s="58"/>
      <c r="B78" s="5"/>
      <c r="C78" s="5"/>
      <c r="D78" s="5"/>
      <c r="E78" s="5"/>
      <c r="F78" s="20"/>
      <c r="G78" s="62"/>
    </row>
    <row r="79" spans="1:7" ht="15">
      <c r="A79" s="58" t="s">
        <v>49</v>
      </c>
      <c r="B79" s="6"/>
      <c r="C79" s="6"/>
      <c r="D79" s="6"/>
      <c r="E79" s="6"/>
      <c r="F79" s="16"/>
      <c r="G79" s="60"/>
    </row>
    <row r="80" spans="1:9" ht="15">
      <c r="A80" s="59" t="s">
        <v>50</v>
      </c>
      <c r="B80" s="7">
        <v>2172844000</v>
      </c>
      <c r="C80" s="30">
        <v>903036735.75</v>
      </c>
      <c r="D80" s="30">
        <f>243092046+59915552.89</f>
        <v>303007598.89</v>
      </c>
      <c r="E80" s="31">
        <f>C80+D80</f>
        <v>1206044334.6399999</v>
      </c>
      <c r="F80" s="16">
        <f>E80/B80*100%</f>
        <v>0.5550533469683051</v>
      </c>
      <c r="G80" s="60">
        <f>E80-B80</f>
        <v>-966799665.3600001</v>
      </c>
      <c r="I80" s="88"/>
    </row>
    <row r="81" spans="1:7" ht="15">
      <c r="A81" s="64" t="s">
        <v>94</v>
      </c>
      <c r="B81" s="25">
        <f>B80</f>
        <v>2172844000</v>
      </c>
      <c r="C81" s="25">
        <f>C80</f>
        <v>903036735.75</v>
      </c>
      <c r="D81" s="118">
        <f>D80</f>
        <v>303007598.89</v>
      </c>
      <c r="E81" s="25">
        <f>E80</f>
        <v>1206044334.6399999</v>
      </c>
      <c r="F81" s="20">
        <f>E81/B81*100%</f>
        <v>0.5550533469683051</v>
      </c>
      <c r="G81" s="62">
        <f>E81-B81</f>
        <v>-966799665.3600001</v>
      </c>
    </row>
    <row r="82" spans="1:7" ht="15">
      <c r="A82" s="64"/>
      <c r="B82" s="26"/>
      <c r="C82" s="29"/>
      <c r="D82" s="38"/>
      <c r="E82" s="38"/>
      <c r="F82" s="20"/>
      <c r="G82" s="62"/>
    </row>
    <row r="83" spans="1:7" ht="26.25">
      <c r="A83" s="64" t="s">
        <v>51</v>
      </c>
      <c r="B83" s="5">
        <f>B81+B77</f>
        <v>3019059165</v>
      </c>
      <c r="C83" s="32">
        <f>C81+C77</f>
        <v>1403036735.75</v>
      </c>
      <c r="D83" s="32">
        <f>D81+D77</f>
        <v>335677598.89</v>
      </c>
      <c r="E83" s="32">
        <f>E81+E77</f>
        <v>1738714334.6399999</v>
      </c>
      <c r="F83" s="20">
        <f>E83/B83*100%</f>
        <v>0.5759126402016039</v>
      </c>
      <c r="G83" s="62">
        <f>E83-B83</f>
        <v>-1280344830.3600001</v>
      </c>
    </row>
    <row r="84" spans="1:7" ht="15">
      <c r="A84" s="58"/>
      <c r="B84" s="5"/>
      <c r="C84" s="32"/>
      <c r="D84" s="32"/>
      <c r="E84" s="31"/>
      <c r="F84" s="20"/>
      <c r="G84" s="62"/>
    </row>
    <row r="85" spans="1:7" ht="15">
      <c r="A85" s="58" t="s">
        <v>52</v>
      </c>
      <c r="B85" s="5">
        <f>B70+B77+B81</f>
        <v>4481499165</v>
      </c>
      <c r="C85" s="32">
        <f>C83+C70</f>
        <v>2636259920.83</v>
      </c>
      <c r="D85" s="32">
        <f>D83+D70</f>
        <v>346102083.89</v>
      </c>
      <c r="E85" s="32">
        <f>E83+E70</f>
        <v>2982362004.72</v>
      </c>
      <c r="F85" s="20">
        <f>E85/B85*100%</f>
        <v>0.665483110654557</v>
      </c>
      <c r="G85" s="62">
        <f>E85-B85</f>
        <v>-1499137160.2800002</v>
      </c>
    </row>
    <row r="86" spans="1:7" ht="15">
      <c r="A86" s="58"/>
      <c r="B86" s="5"/>
      <c r="C86" s="32"/>
      <c r="D86" s="32"/>
      <c r="E86" s="31"/>
      <c r="F86" s="16"/>
      <c r="G86" s="60"/>
    </row>
    <row r="87" spans="1:9" ht="15">
      <c r="A87" s="58" t="s">
        <v>53</v>
      </c>
      <c r="B87" s="5">
        <f>B85+B60+B31</f>
        <v>11703629000</v>
      </c>
      <c r="C87" s="32">
        <f>C85+C60+C31</f>
        <v>8050535401.780001</v>
      </c>
      <c r="D87" s="32">
        <f>D85+D60+D31</f>
        <v>832990670.5999999</v>
      </c>
      <c r="E87" s="32">
        <f>E85+E60+E31</f>
        <v>8883526072.380001</v>
      </c>
      <c r="F87" s="20">
        <f>E87/B87*100%</f>
        <v>0.7590403004384367</v>
      </c>
      <c r="G87" s="62">
        <f>E87-B87</f>
        <v>-2820102927.619999</v>
      </c>
      <c r="I87" s="128"/>
    </row>
    <row r="88" spans="1:9" ht="15">
      <c r="A88" s="1"/>
      <c r="B88" s="5"/>
      <c r="C88" s="32"/>
      <c r="D88" s="32"/>
      <c r="E88" s="32"/>
      <c r="F88" s="20"/>
      <c r="G88" s="5"/>
      <c r="I88" s="129"/>
    </row>
    <row r="89" spans="1:9" ht="15">
      <c r="A89" s="67" t="s">
        <v>54</v>
      </c>
      <c r="B89" s="78"/>
      <c r="C89" s="45"/>
      <c r="D89" s="45"/>
      <c r="E89" s="79"/>
      <c r="F89" s="47"/>
      <c r="G89" s="68"/>
      <c r="I89" s="128"/>
    </row>
    <row r="90" spans="1:9" ht="15">
      <c r="A90" s="58" t="s">
        <v>55</v>
      </c>
      <c r="B90" s="4"/>
      <c r="C90" s="123"/>
      <c r="D90" s="33"/>
      <c r="E90" s="32"/>
      <c r="F90" s="16"/>
      <c r="G90" s="60"/>
      <c r="I90" s="128"/>
    </row>
    <row r="91" spans="1:9" ht="15">
      <c r="A91" s="58" t="s">
        <v>56</v>
      </c>
      <c r="B91" s="12"/>
      <c r="C91" s="39"/>
      <c r="D91" s="39"/>
      <c r="E91" s="32"/>
      <c r="F91" s="16"/>
      <c r="G91" s="60"/>
      <c r="I91" s="128"/>
    </row>
    <row r="92" spans="1:9" ht="15">
      <c r="A92" s="59" t="s">
        <v>80</v>
      </c>
      <c r="B92" s="18">
        <f>670523000+42088000</f>
        <v>712611000</v>
      </c>
      <c r="C92" s="40">
        <v>641956000</v>
      </c>
      <c r="D92" s="40">
        <v>0</v>
      </c>
      <c r="E92" s="40">
        <f>C92+D92</f>
        <v>641956000</v>
      </c>
      <c r="F92" s="16">
        <f>E92/B92*100%</f>
        <v>0.9008505341623971</v>
      </c>
      <c r="G92" s="60">
        <f>E92-B92</f>
        <v>-70655000</v>
      </c>
      <c r="I92" s="88"/>
    </row>
    <row r="93" spans="1:9" ht="15">
      <c r="A93" s="59" t="s">
        <v>57</v>
      </c>
      <c r="B93" s="6">
        <v>333315000</v>
      </c>
      <c r="C93" s="40">
        <v>129477000</v>
      </c>
      <c r="D93" s="40">
        <v>0</v>
      </c>
      <c r="E93" s="40">
        <f aca="true" t="shared" si="5" ref="E93:E98">C93+D93</f>
        <v>129477000</v>
      </c>
      <c r="F93" s="16">
        <f aca="true" t="shared" si="6" ref="F93:F99">E93/B93*100%</f>
        <v>0.3884523648800684</v>
      </c>
      <c r="G93" s="60">
        <f aca="true" t="shared" si="7" ref="G93:G99">E93-B93</f>
        <v>-203838000</v>
      </c>
      <c r="I93" s="121"/>
    </row>
    <row r="94" spans="1:9" ht="15">
      <c r="A94" s="59" t="s">
        <v>58</v>
      </c>
      <c r="B94" s="17">
        <v>1099360000</v>
      </c>
      <c r="C94" s="40">
        <v>310673000</v>
      </c>
      <c r="D94" s="40">
        <v>0</v>
      </c>
      <c r="E94" s="40">
        <f t="shared" si="5"/>
        <v>310673000</v>
      </c>
      <c r="F94" s="16">
        <f t="shared" si="6"/>
        <v>0.2825944185708048</v>
      </c>
      <c r="G94" s="60">
        <f t="shared" si="7"/>
        <v>-788687000</v>
      </c>
      <c r="I94" s="87"/>
    </row>
    <row r="95" spans="1:9" ht="15">
      <c r="A95" s="59" t="s">
        <v>59</v>
      </c>
      <c r="B95" s="17">
        <v>1647264000</v>
      </c>
      <c r="C95" s="40">
        <v>1229651000</v>
      </c>
      <c r="D95" s="40">
        <v>0</v>
      </c>
      <c r="E95" s="40">
        <f t="shared" si="5"/>
        <v>1229651000</v>
      </c>
      <c r="F95" s="16">
        <f t="shared" si="6"/>
        <v>0.7464808312450221</v>
      </c>
      <c r="G95" s="60">
        <f t="shared" si="7"/>
        <v>-417613000</v>
      </c>
      <c r="I95" s="87"/>
    </row>
    <row r="96" spans="1:9" ht="15">
      <c r="A96" s="59" t="s">
        <v>60</v>
      </c>
      <c r="B96" s="17">
        <f>24982000+5421000</f>
        <v>30403000</v>
      </c>
      <c r="C96" s="40">
        <v>2712000</v>
      </c>
      <c r="D96" s="40">
        <v>0</v>
      </c>
      <c r="E96" s="40">
        <f t="shared" si="5"/>
        <v>2712000</v>
      </c>
      <c r="F96" s="16">
        <f t="shared" si="6"/>
        <v>0.08920172351412689</v>
      </c>
      <c r="G96" s="60">
        <f t="shared" si="7"/>
        <v>-27691000</v>
      </c>
      <c r="I96" s="128"/>
    </row>
    <row r="97" spans="1:7" ht="15">
      <c r="A97" s="59" t="s">
        <v>61</v>
      </c>
      <c r="B97" s="17">
        <v>27938000</v>
      </c>
      <c r="C97" s="40">
        <v>4656000</v>
      </c>
      <c r="D97" s="40">
        <v>0</v>
      </c>
      <c r="E97" s="40">
        <f t="shared" si="5"/>
        <v>4656000</v>
      </c>
      <c r="F97" s="16">
        <f t="shared" si="6"/>
        <v>0.16665473548571838</v>
      </c>
      <c r="G97" s="60">
        <f t="shared" si="7"/>
        <v>-23282000</v>
      </c>
    </row>
    <row r="98" spans="1:7" ht="15">
      <c r="A98" s="59" t="s">
        <v>62</v>
      </c>
      <c r="B98" s="17">
        <v>17132000</v>
      </c>
      <c r="C98" s="40">
        <v>2382000</v>
      </c>
      <c r="D98" s="40">
        <v>0</v>
      </c>
      <c r="E98" s="40">
        <f t="shared" si="5"/>
        <v>2382000</v>
      </c>
      <c r="F98" s="16">
        <f t="shared" si="6"/>
        <v>0.13903805743637637</v>
      </c>
      <c r="G98" s="60">
        <f t="shared" si="7"/>
        <v>-14750000</v>
      </c>
    </row>
    <row r="99" spans="1:9" ht="15">
      <c r="A99" s="65" t="s">
        <v>63</v>
      </c>
      <c r="B99" s="41">
        <f>SUM(B92:B98)</f>
        <v>3868023000</v>
      </c>
      <c r="C99" s="42">
        <f>SUM(C92:C98)</f>
        <v>2321507000</v>
      </c>
      <c r="D99" s="42">
        <f>SUM(D92:D98)</f>
        <v>0</v>
      </c>
      <c r="E99" s="42">
        <f>SUM(E92:E98)</f>
        <v>2321507000</v>
      </c>
      <c r="F99" s="43">
        <f t="shared" si="6"/>
        <v>0.600179212998475</v>
      </c>
      <c r="G99" s="66">
        <f t="shared" si="7"/>
        <v>-1546516000</v>
      </c>
      <c r="I99" s="128"/>
    </row>
    <row r="100" spans="1:9" ht="15">
      <c r="A100" s="58"/>
      <c r="B100" s="5"/>
      <c r="C100" s="32"/>
      <c r="D100" s="32"/>
      <c r="E100" s="32"/>
      <c r="F100" s="20"/>
      <c r="G100" s="62"/>
      <c r="I100" s="88"/>
    </row>
    <row r="101" spans="1:7" ht="15">
      <c r="A101" s="67" t="s">
        <v>64</v>
      </c>
      <c r="B101" s="44"/>
      <c r="C101" s="45"/>
      <c r="D101" s="45"/>
      <c r="E101" s="46"/>
      <c r="F101" s="47"/>
      <c r="G101" s="68"/>
    </row>
    <row r="102" spans="1:9" ht="15">
      <c r="A102" s="59" t="s">
        <v>65</v>
      </c>
      <c r="B102" s="6">
        <v>38649464000</v>
      </c>
      <c r="C102" s="85">
        <v>26401328156.866665</v>
      </c>
      <c r="D102" s="116">
        <v>3184223897.6</v>
      </c>
      <c r="E102" s="31">
        <f>C102+D102</f>
        <v>29585552054.466663</v>
      </c>
      <c r="F102" s="16">
        <f>E102/B102*100%</f>
        <v>0.7654841488737506</v>
      </c>
      <c r="G102" s="60">
        <f>E102-B102</f>
        <v>-9063911945.533337</v>
      </c>
      <c r="I102" s="121"/>
    </row>
    <row r="103" spans="1:7" ht="15">
      <c r="A103" s="58" t="s">
        <v>66</v>
      </c>
      <c r="B103" s="5">
        <f>SUM(B102)</f>
        <v>38649464000</v>
      </c>
      <c r="C103" s="32">
        <f>SUM(C102)</f>
        <v>26401328156.866665</v>
      </c>
      <c r="D103" s="32">
        <f>SUM(D102)</f>
        <v>3184223897.6</v>
      </c>
      <c r="E103" s="32">
        <f>SUM(E102)</f>
        <v>29585552054.466663</v>
      </c>
      <c r="F103" s="20">
        <f>E103/B103*100%</f>
        <v>0.7654841488737506</v>
      </c>
      <c r="G103" s="62">
        <f>E103-B103</f>
        <v>-9063911945.533337</v>
      </c>
    </row>
    <row r="104" spans="1:7" ht="15">
      <c r="A104" s="59"/>
      <c r="B104" s="6"/>
      <c r="C104" s="31"/>
      <c r="D104" s="31"/>
      <c r="E104" s="31"/>
      <c r="F104" s="16"/>
      <c r="G104" s="60"/>
    </row>
    <row r="105" spans="1:7" ht="15">
      <c r="A105" s="58" t="s">
        <v>67</v>
      </c>
      <c r="B105" s="5">
        <f>B103+B99</f>
        <v>42517487000</v>
      </c>
      <c r="C105" s="32">
        <f>C103+C99</f>
        <v>28722835156.866665</v>
      </c>
      <c r="D105" s="32">
        <f>D103+D99</f>
        <v>3184223897.6</v>
      </c>
      <c r="E105" s="32">
        <f>E103+E99</f>
        <v>31907059054.466663</v>
      </c>
      <c r="F105" s="20">
        <f>E105/B105*100%</f>
        <v>0.7504455532488706</v>
      </c>
      <c r="G105" s="62">
        <f>E105-B105</f>
        <v>-10610427945.533337</v>
      </c>
    </row>
    <row r="106" spans="1:7" ht="15">
      <c r="A106" s="56"/>
      <c r="B106" s="114"/>
      <c r="C106" s="99"/>
      <c r="D106" s="69"/>
      <c r="E106" s="100"/>
      <c r="F106" s="101"/>
      <c r="G106" s="102"/>
    </row>
    <row r="107" spans="1:7" ht="15">
      <c r="A107" s="98"/>
      <c r="B107" s="103"/>
      <c r="C107" s="104"/>
      <c r="D107" s="105"/>
      <c r="E107" s="106"/>
      <c r="F107" s="97"/>
      <c r="G107" s="6"/>
    </row>
    <row r="108" spans="1:7" ht="15">
      <c r="A108" s="58" t="s">
        <v>68</v>
      </c>
      <c r="B108" s="115"/>
      <c r="C108" s="45"/>
      <c r="D108" s="45"/>
      <c r="E108" s="46"/>
      <c r="F108" s="47"/>
      <c r="G108" s="68"/>
    </row>
    <row r="109" spans="1:7" ht="15">
      <c r="A109" s="59" t="s">
        <v>69</v>
      </c>
      <c r="B109" s="6">
        <v>10415000</v>
      </c>
      <c r="C109" s="31">
        <v>0</v>
      </c>
      <c r="D109" s="31">
        <v>0</v>
      </c>
      <c r="E109" s="31">
        <v>0</v>
      </c>
      <c r="F109" s="16">
        <f aca="true" t="shared" si="8" ref="F109:F120">E109/B109*100%</f>
        <v>0</v>
      </c>
      <c r="G109" s="60">
        <f aca="true" t="shared" si="9" ref="G109:G120">E109-B109</f>
        <v>-10415000</v>
      </c>
    </row>
    <row r="110" spans="1:7" ht="15">
      <c r="A110" s="59" t="s">
        <v>70</v>
      </c>
      <c r="B110" s="6">
        <v>434189000</v>
      </c>
      <c r="C110" s="31">
        <v>218745500</v>
      </c>
      <c r="D110" s="31">
        <v>0</v>
      </c>
      <c r="E110" s="31">
        <f aca="true" t="shared" si="10" ref="E110:E118">C110+D110</f>
        <v>218745500</v>
      </c>
      <c r="F110" s="16">
        <f t="shared" si="8"/>
        <v>0.5038024915417019</v>
      </c>
      <c r="G110" s="60">
        <f t="shared" si="9"/>
        <v>-215443500</v>
      </c>
    </row>
    <row r="111" spans="1:7" ht="15">
      <c r="A111" s="59" t="s">
        <v>71</v>
      </c>
      <c r="B111" s="6">
        <v>18838000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-18838000</v>
      </c>
    </row>
    <row r="112" spans="1:7" ht="15">
      <c r="A112" s="59" t="s">
        <v>78</v>
      </c>
      <c r="B112" s="6">
        <v>1646097000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-1646097000</v>
      </c>
    </row>
    <row r="113" spans="1:7" ht="15">
      <c r="A113" s="59" t="s">
        <v>72</v>
      </c>
      <c r="B113" s="6">
        <v>1151698000</v>
      </c>
      <c r="C113" s="31">
        <v>258091866</v>
      </c>
      <c r="D113" s="31">
        <v>0</v>
      </c>
      <c r="E113" s="31">
        <f t="shared" si="10"/>
        <v>258091866</v>
      </c>
      <c r="F113" s="16">
        <f t="shared" si="8"/>
        <v>0.22409682573035639</v>
      </c>
      <c r="G113" s="60">
        <f t="shared" si="9"/>
        <v>-893606134</v>
      </c>
    </row>
    <row r="114" spans="1:7" ht="15">
      <c r="A114" s="59" t="s">
        <v>133</v>
      </c>
      <c r="B114" s="6">
        <v>0</v>
      </c>
      <c r="C114" s="31">
        <v>21044000</v>
      </c>
      <c r="D114" s="31">
        <v>0</v>
      </c>
      <c r="E114" s="31">
        <f t="shared" si="10"/>
        <v>21044000</v>
      </c>
      <c r="F114" s="16">
        <v>0</v>
      </c>
      <c r="G114" s="60">
        <f t="shared" si="9"/>
        <v>21044000</v>
      </c>
    </row>
    <row r="115" spans="1:7" ht="15">
      <c r="A115" s="59" t="s">
        <v>73</v>
      </c>
      <c r="B115" s="6">
        <v>85819000</v>
      </c>
      <c r="C115" s="31">
        <v>150731817.32999998</v>
      </c>
      <c r="D115" s="31">
        <f>88710777.92+180427985.61</f>
        <v>269138763.53000003</v>
      </c>
      <c r="E115" s="31">
        <f t="shared" si="10"/>
        <v>419870580.86</v>
      </c>
      <c r="F115" s="16">
        <f t="shared" si="8"/>
        <v>4.8925130898752025</v>
      </c>
      <c r="G115" s="60">
        <f t="shared" si="9"/>
        <v>334051580.86</v>
      </c>
    </row>
    <row r="116" spans="1:7" ht="15">
      <c r="A116" s="59" t="s">
        <v>104</v>
      </c>
      <c r="B116" s="6">
        <v>0</v>
      </c>
      <c r="C116" s="31">
        <v>2014240500</v>
      </c>
      <c r="D116" s="31">
        <v>0</v>
      </c>
      <c r="E116" s="31">
        <f t="shared" si="10"/>
        <v>2014240500</v>
      </c>
      <c r="F116" s="16">
        <v>0</v>
      </c>
      <c r="G116" s="60">
        <f t="shared" si="9"/>
        <v>2014240500</v>
      </c>
    </row>
    <row r="117" spans="1:9" ht="15">
      <c r="A117" s="59" t="s">
        <v>110</v>
      </c>
      <c r="B117" s="6">
        <v>0</v>
      </c>
      <c r="C117" s="31">
        <v>582308209.3</v>
      </c>
      <c r="D117" s="31">
        <v>0</v>
      </c>
      <c r="E117" s="31">
        <f>C117+D117</f>
        <v>582308209.3</v>
      </c>
      <c r="F117" s="16">
        <v>0</v>
      </c>
      <c r="G117" s="60">
        <f>E117-B117</f>
        <v>582308209.3</v>
      </c>
      <c r="I117" s="128"/>
    </row>
    <row r="118" spans="1:7" ht="15">
      <c r="A118" s="59" t="s">
        <v>74</v>
      </c>
      <c r="B118" s="6">
        <v>32713000</v>
      </c>
      <c r="C118" s="31">
        <v>115625421</v>
      </c>
      <c r="D118" s="31">
        <v>0</v>
      </c>
      <c r="E118" s="31">
        <f t="shared" si="10"/>
        <v>115625421</v>
      </c>
      <c r="F118" s="16">
        <f t="shared" si="8"/>
        <v>3.53454042735304</v>
      </c>
      <c r="G118" s="60">
        <f t="shared" si="9"/>
        <v>82912421</v>
      </c>
    </row>
    <row r="119" spans="1:9" ht="20.25" customHeight="1">
      <c r="A119" s="58" t="s">
        <v>75</v>
      </c>
      <c r="B119" s="5">
        <f>SUM(B109:B118)</f>
        <v>3379769000</v>
      </c>
      <c r="C119" s="32">
        <f>SUM(C109:C118)</f>
        <v>3360787313.63</v>
      </c>
      <c r="D119" s="32">
        <f>SUM(D109:D118)</f>
        <v>269138763.53000003</v>
      </c>
      <c r="E119" s="32">
        <f>SUM(E109:E118)</f>
        <v>3629926077.16</v>
      </c>
      <c r="F119" s="20">
        <f t="shared" si="8"/>
        <v>1.0740160280658233</v>
      </c>
      <c r="G119" s="60">
        <f t="shared" si="9"/>
        <v>250157077.15999985</v>
      </c>
      <c r="I119" s="88"/>
    </row>
    <row r="120" spans="1:7" ht="21" customHeight="1">
      <c r="A120" s="65" t="s">
        <v>76</v>
      </c>
      <c r="B120" s="41">
        <f>B119+B105</f>
        <v>45897256000</v>
      </c>
      <c r="C120" s="42">
        <f>C119+C105</f>
        <v>32083622470.496666</v>
      </c>
      <c r="D120" s="42">
        <f>D119+D105</f>
        <v>3453362661.13</v>
      </c>
      <c r="E120" s="42">
        <f>E119+E105</f>
        <v>35536985131.62666</v>
      </c>
      <c r="F120" s="43">
        <f t="shared" si="8"/>
        <v>0.7742725432567616</v>
      </c>
      <c r="G120" s="66">
        <f t="shared" si="9"/>
        <v>-10360270868.373337</v>
      </c>
    </row>
    <row r="121" spans="1:7" ht="21" customHeight="1">
      <c r="A121" s="1"/>
      <c r="B121" s="5"/>
      <c r="C121" s="32"/>
      <c r="D121" s="32"/>
      <c r="E121" s="32"/>
      <c r="F121" s="20"/>
      <c r="G121" s="5"/>
    </row>
    <row r="122" spans="1:7" ht="20.25" customHeight="1">
      <c r="A122" s="93" t="s">
        <v>96</v>
      </c>
      <c r="B122" s="94"/>
      <c r="C122" s="92"/>
      <c r="D122" s="92"/>
      <c r="E122" s="92"/>
      <c r="F122" s="95"/>
      <c r="G122" s="96"/>
    </row>
    <row r="123" spans="1:7" ht="20.25" customHeight="1">
      <c r="A123" s="59" t="s">
        <v>124</v>
      </c>
      <c r="B123" s="6">
        <v>0</v>
      </c>
      <c r="C123" s="31">
        <v>12233921.7</v>
      </c>
      <c r="D123" s="31">
        <v>0</v>
      </c>
      <c r="E123" s="31">
        <f>C123+D123</f>
        <v>12233921.7</v>
      </c>
      <c r="F123" s="16">
        <v>1</v>
      </c>
      <c r="G123" s="60">
        <f>E123-B123</f>
        <v>12233921.7</v>
      </c>
    </row>
    <row r="124" spans="1:7" ht="17.25" customHeight="1">
      <c r="A124" s="59" t="s">
        <v>92</v>
      </c>
      <c r="B124" s="6">
        <v>0</v>
      </c>
      <c r="C124" s="31">
        <v>0</v>
      </c>
      <c r="D124" s="31">
        <v>0</v>
      </c>
      <c r="E124" s="31">
        <f>C124+D124</f>
        <v>0</v>
      </c>
      <c r="F124" s="16">
        <v>1</v>
      </c>
      <c r="G124" s="60">
        <f>E124-B124</f>
        <v>0</v>
      </c>
    </row>
    <row r="125" spans="1:7" ht="21" customHeight="1" thickBot="1">
      <c r="A125" s="93" t="s">
        <v>97</v>
      </c>
      <c r="B125" s="94">
        <f>SUM(B123:B124)</f>
        <v>0</v>
      </c>
      <c r="C125" s="94">
        <f>SUM(C123:C124)</f>
        <v>12233921.7</v>
      </c>
      <c r="D125" s="94">
        <f>SUM(D123:D124)</f>
        <v>0</v>
      </c>
      <c r="E125" s="42">
        <f>C125+D125</f>
        <v>12233921.7</v>
      </c>
      <c r="F125" s="43">
        <v>1</v>
      </c>
      <c r="G125" s="66">
        <f>E125-B125</f>
        <v>12233921.7</v>
      </c>
    </row>
    <row r="126" spans="1:7" ht="21" customHeight="1" thickBot="1">
      <c r="A126" s="49" t="s">
        <v>98</v>
      </c>
      <c r="B126" s="50">
        <f>B119+B125</f>
        <v>3379769000</v>
      </c>
      <c r="C126" s="50">
        <f>C119+C125</f>
        <v>3373021235.33</v>
      </c>
      <c r="D126" s="50">
        <f>D119+D125</f>
        <v>269138763.53000003</v>
      </c>
      <c r="E126" s="50">
        <f>E119+E125</f>
        <v>3642159998.8599997</v>
      </c>
      <c r="F126" s="51">
        <f>E126/B126*100%</f>
        <v>1.0776357789127007</v>
      </c>
      <c r="G126" s="52">
        <f>E126-B126</f>
        <v>262390998.85999966</v>
      </c>
    </row>
    <row r="127" spans="1:7" ht="28.5" customHeight="1" thickBot="1">
      <c r="A127" s="49" t="s">
        <v>77</v>
      </c>
      <c r="B127" s="50">
        <f>B120+B87+B125</f>
        <v>57600885000</v>
      </c>
      <c r="C127" s="50">
        <f>C120+C87+C126</f>
        <v>43507179107.60667</v>
      </c>
      <c r="D127" s="50">
        <f>D120+D87+D125</f>
        <v>4286353331.73</v>
      </c>
      <c r="E127" s="50">
        <f>E120+E87+E126</f>
        <v>48062671202.86667</v>
      </c>
      <c r="F127" s="51">
        <f>E127/B127*100%</f>
        <v>0.8344085547099956</v>
      </c>
      <c r="G127" s="52">
        <f>E127-B127</f>
        <v>-9538213797.133331</v>
      </c>
    </row>
    <row r="128" spans="3:5" ht="15">
      <c r="C128" s="128"/>
      <c r="E128" s="113"/>
    </row>
    <row r="129" spans="2:5" ht="15">
      <c r="B129" s="113"/>
      <c r="D129" s="113"/>
      <c r="E129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headerFoot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08">
      <selection activeCell="C115" sqref="C115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5.28125" style="21" bestFit="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139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135</v>
      </c>
      <c r="D7" s="112" t="s">
        <v>137</v>
      </c>
      <c r="E7" s="75" t="s">
        <v>138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11700000</v>
      </c>
      <c r="D11" s="6">
        <v>4200000</v>
      </c>
      <c r="E11" s="6">
        <f>C11+D11</f>
        <v>15900000</v>
      </c>
      <c r="F11" s="16">
        <f>E11/B11*100%</f>
        <v>0.27319587628865977</v>
      </c>
      <c r="G11" s="60">
        <f>E11-B11</f>
        <v>-42300000</v>
      </c>
    </row>
    <row r="12" spans="1:7" ht="15.75">
      <c r="A12" s="61" t="s">
        <v>82</v>
      </c>
      <c r="B12" s="23">
        <v>32400000</v>
      </c>
      <c r="C12" s="6">
        <v>3410000</v>
      </c>
      <c r="D12" s="6">
        <v>3315000</v>
      </c>
      <c r="E12" s="6">
        <f>C12+D12</f>
        <v>6725000</v>
      </c>
      <c r="F12" s="16">
        <f>E12/B12*100%</f>
        <v>0.20756172839506173</v>
      </c>
      <c r="G12" s="60">
        <f>E12-B12</f>
        <v>-25675000</v>
      </c>
    </row>
    <row r="13" spans="1:7" ht="15">
      <c r="A13" s="58" t="s">
        <v>9</v>
      </c>
      <c r="B13" s="5">
        <f>SUM(B11:B12)</f>
        <v>90600000</v>
      </c>
      <c r="C13" s="5">
        <f>SUM(C11:C12)</f>
        <v>15110000</v>
      </c>
      <c r="D13" s="5">
        <f>SUM(D11:D12)</f>
        <v>7515000</v>
      </c>
      <c r="E13" s="5">
        <f>SUM(E11:E12)</f>
        <v>22625000</v>
      </c>
      <c r="F13" s="20">
        <f>E13/B13*100%</f>
        <v>0.24972406181015452</v>
      </c>
      <c r="G13" s="62">
        <f>E13-B13</f>
        <v>-67975000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3300000</v>
      </c>
      <c r="D17" s="6">
        <v>25900000</v>
      </c>
      <c r="E17" s="6">
        <f>C17+D17</f>
        <v>29200000</v>
      </c>
      <c r="F17" s="16">
        <f aca="true" t="shared" si="0" ref="F17:F26">E17/B17*100%</f>
        <v>0.9733333333333334</v>
      </c>
      <c r="G17" s="60">
        <f aca="true" t="shared" si="1" ref="G17:G26">E17-B17</f>
        <v>-800000</v>
      </c>
    </row>
    <row r="18" spans="1:7" ht="15">
      <c r="A18" s="59" t="s">
        <v>12</v>
      </c>
      <c r="B18" s="23">
        <v>10000000</v>
      </c>
      <c r="C18" s="6">
        <v>9961453</v>
      </c>
      <c r="D18" s="6">
        <v>0</v>
      </c>
      <c r="E18" s="6">
        <f aca="true" t="shared" si="2" ref="E18:E26">C18+D18</f>
        <v>9961453</v>
      </c>
      <c r="F18" s="16">
        <f t="shared" si="0"/>
        <v>0.9961453</v>
      </c>
      <c r="G18" s="60">
        <f t="shared" si="1"/>
        <v>-38547</v>
      </c>
    </row>
    <row r="19" spans="1:7" ht="15">
      <c r="A19" s="59" t="s">
        <v>13</v>
      </c>
      <c r="B19" s="23">
        <v>40156000</v>
      </c>
      <c r="C19" s="6">
        <v>40306700</v>
      </c>
      <c r="D19" s="6">
        <v>678000</v>
      </c>
      <c r="E19" s="6">
        <f t="shared" si="2"/>
        <v>40984700</v>
      </c>
      <c r="F19" s="16">
        <f t="shared" si="0"/>
        <v>1.0206370156390079</v>
      </c>
      <c r="G19" s="60">
        <f t="shared" si="1"/>
        <v>828700</v>
      </c>
    </row>
    <row r="20" spans="1:9" ht="15">
      <c r="A20" s="59" t="s">
        <v>91</v>
      </c>
      <c r="B20" s="23">
        <v>1461910000</v>
      </c>
      <c r="C20" s="6">
        <v>1134145327.1000001</v>
      </c>
      <c r="D20" s="6">
        <v>59718503</v>
      </c>
      <c r="E20" s="6">
        <f t="shared" si="2"/>
        <v>1193863830.1000001</v>
      </c>
      <c r="F20" s="16">
        <f t="shared" si="0"/>
        <v>0.8166465993802628</v>
      </c>
      <c r="G20" s="60">
        <f t="shared" si="1"/>
        <v>-268046169.89999986</v>
      </c>
      <c r="I20" s="130"/>
    </row>
    <row r="21" spans="1:7" ht="15.75" customHeight="1">
      <c r="A21" s="59" t="s">
        <v>81</v>
      </c>
      <c r="B21" s="23">
        <v>14600000</v>
      </c>
      <c r="C21" s="6">
        <v>10935971.11</v>
      </c>
      <c r="D21" s="6">
        <v>2290500</v>
      </c>
      <c r="E21" s="6">
        <f t="shared" si="2"/>
        <v>13226471.11</v>
      </c>
      <c r="F21" s="16">
        <f t="shared" si="0"/>
        <v>0.9059226787671233</v>
      </c>
      <c r="G21" s="60">
        <f t="shared" si="1"/>
        <v>-1373528.8900000006</v>
      </c>
    </row>
    <row r="22" spans="1:7" ht="15">
      <c r="A22" s="59" t="s">
        <v>14</v>
      </c>
      <c r="B22" s="23">
        <v>2616666835</v>
      </c>
      <c r="C22" s="6">
        <v>2494795813.45</v>
      </c>
      <c r="D22" s="6">
        <v>52474532.89</v>
      </c>
      <c r="E22" s="6">
        <f t="shared" si="2"/>
        <v>2547270346.3399997</v>
      </c>
      <c r="F22" s="16">
        <f t="shared" si="0"/>
        <v>0.9734790506258698</v>
      </c>
      <c r="G22" s="60">
        <f t="shared" si="1"/>
        <v>-69396488.66000032</v>
      </c>
    </row>
    <row r="23" spans="1:7" ht="15">
      <c r="A23" s="59" t="s">
        <v>128</v>
      </c>
      <c r="B23" s="29">
        <v>293750000</v>
      </c>
      <c r="C23" s="29">
        <v>26345319</v>
      </c>
      <c r="D23" s="6">
        <v>23177200</v>
      </c>
      <c r="E23" s="6">
        <f t="shared" si="2"/>
        <v>49522519</v>
      </c>
      <c r="F23" s="16">
        <f t="shared" si="0"/>
        <v>0.16858729872340425</v>
      </c>
      <c r="G23" s="60">
        <f t="shared" si="1"/>
        <v>-244227481</v>
      </c>
    </row>
    <row r="24" spans="1:7" ht="15">
      <c r="A24" s="59" t="s">
        <v>15</v>
      </c>
      <c r="B24" s="23">
        <v>9600000</v>
      </c>
      <c r="C24" s="6">
        <v>5280000</v>
      </c>
      <c r="D24" s="6">
        <v>0</v>
      </c>
      <c r="E24" s="6">
        <f t="shared" si="2"/>
        <v>5280000</v>
      </c>
      <c r="F24" s="16">
        <f t="shared" si="0"/>
        <v>0.55</v>
      </c>
      <c r="G24" s="60">
        <f t="shared" si="1"/>
        <v>-4320000</v>
      </c>
    </row>
    <row r="25" spans="1:7" ht="15">
      <c r="A25" s="59" t="s">
        <v>16</v>
      </c>
      <c r="B25" s="23">
        <v>1396060000</v>
      </c>
      <c r="C25" s="6">
        <v>1219563650</v>
      </c>
      <c r="D25" s="6">
        <f>728750+73931100</f>
        <v>74659850</v>
      </c>
      <c r="E25" s="6">
        <f t="shared" si="2"/>
        <v>1294223500</v>
      </c>
      <c r="F25" s="16">
        <f t="shared" si="0"/>
        <v>0.9270543529647722</v>
      </c>
      <c r="G25" s="60">
        <f t="shared" si="1"/>
        <v>-101836500</v>
      </c>
    </row>
    <row r="26" spans="1:7" ht="15">
      <c r="A26" s="58" t="s">
        <v>17</v>
      </c>
      <c r="B26" s="5">
        <f>SUM(B17:B25)</f>
        <v>5872742835</v>
      </c>
      <c r="C26" s="5">
        <f>SUM(C17:C25)</f>
        <v>4944634233.66</v>
      </c>
      <c r="D26" s="5">
        <f>SUM(D17:D25)</f>
        <v>238898585.89</v>
      </c>
      <c r="E26" s="5">
        <f t="shared" si="2"/>
        <v>5183532819.55</v>
      </c>
      <c r="F26" s="20">
        <f t="shared" si="0"/>
        <v>0.8826425684192248</v>
      </c>
      <c r="G26" s="62">
        <f t="shared" si="1"/>
        <v>-689210015.4499998</v>
      </c>
    </row>
    <row r="27" spans="1:7" ht="15">
      <c r="A27" s="58"/>
      <c r="B27" s="5"/>
      <c r="C27" s="5"/>
      <c r="D27" s="5"/>
      <c r="E27" s="6"/>
      <c r="F27" s="16"/>
      <c r="G27" s="60"/>
    </row>
    <row r="28" spans="1:7" ht="15">
      <c r="A28" s="58" t="s">
        <v>18</v>
      </c>
      <c r="B28" s="12"/>
      <c r="C28" s="12"/>
      <c r="D28" s="12"/>
      <c r="E28" s="6"/>
      <c r="F28" s="16"/>
      <c r="G28" s="60"/>
    </row>
    <row r="29" spans="1:7" ht="15">
      <c r="A29" s="111" t="s">
        <v>12</v>
      </c>
      <c r="B29" s="23">
        <v>3000000</v>
      </c>
      <c r="C29" s="6">
        <v>2448000</v>
      </c>
      <c r="D29" s="6">
        <v>0</v>
      </c>
      <c r="E29" s="6">
        <f>C29+D29</f>
        <v>2448000</v>
      </c>
      <c r="F29" s="16">
        <f>E29/B29*100%</f>
        <v>0.816</v>
      </c>
      <c r="G29" s="60">
        <f>E29-B29</f>
        <v>-552000</v>
      </c>
    </row>
    <row r="30" spans="1:7" ht="15">
      <c r="A30" s="58" t="s">
        <v>19</v>
      </c>
      <c r="B30" s="5">
        <f>SUM(B29)</f>
        <v>3000000</v>
      </c>
      <c r="C30" s="5">
        <f>SUM(C29)</f>
        <v>2448000</v>
      </c>
      <c r="D30" s="5">
        <f>SUM(D29)</f>
        <v>0</v>
      </c>
      <c r="E30" s="5">
        <f>C30+D30</f>
        <v>2448000</v>
      </c>
      <c r="F30" s="20">
        <f>E30/B30*100%</f>
        <v>0.816</v>
      </c>
      <c r="G30" s="62">
        <f>E30-B30</f>
        <v>-552000</v>
      </c>
    </row>
    <row r="31" spans="1:7" ht="15">
      <c r="A31" s="58" t="s">
        <v>20</v>
      </c>
      <c r="B31" s="5">
        <f>B13+B26+B30</f>
        <v>5966342835</v>
      </c>
      <c r="C31" s="5">
        <f>C30+C26+C13</f>
        <v>4962192233.66</v>
      </c>
      <c r="D31" s="5">
        <f>D30+D26+D13</f>
        <v>246413585.89</v>
      </c>
      <c r="E31" s="5">
        <f>E30+E26+E13</f>
        <v>5208605819.55</v>
      </c>
      <c r="F31" s="20">
        <f>E31/B31*100%</f>
        <v>0.8729980766433781</v>
      </c>
      <c r="G31" s="62">
        <f>E31-B31</f>
        <v>-757737015.4499998</v>
      </c>
    </row>
    <row r="32" spans="1:7" ht="15">
      <c r="A32" s="58"/>
      <c r="B32" s="5"/>
      <c r="C32" s="5"/>
      <c r="D32" s="5"/>
      <c r="E32" s="5"/>
      <c r="F32" s="20"/>
      <c r="G32" s="62"/>
    </row>
    <row r="33" spans="1:7" ht="15">
      <c r="A33" s="59"/>
      <c r="B33" s="6"/>
      <c r="C33" s="6"/>
      <c r="D33" s="6"/>
      <c r="E33" s="6"/>
      <c r="F33" s="16"/>
      <c r="G33" s="60"/>
    </row>
    <row r="34" spans="1:7" ht="15">
      <c r="A34" s="58" t="s">
        <v>21</v>
      </c>
      <c r="B34" s="4"/>
      <c r="C34" s="12"/>
      <c r="D34" s="110"/>
      <c r="E34" s="6"/>
      <c r="F34" s="16"/>
      <c r="G34" s="60"/>
    </row>
    <row r="35" spans="1:7" ht="15">
      <c r="A35" s="58" t="s">
        <v>22</v>
      </c>
      <c r="B35" s="4"/>
      <c r="C35" s="12"/>
      <c r="D35" s="12"/>
      <c r="E35" s="6"/>
      <c r="F35" s="16"/>
      <c r="G35" s="60"/>
    </row>
    <row r="36" spans="1:7" ht="15">
      <c r="A36" s="59" t="s">
        <v>23</v>
      </c>
      <c r="B36" s="23">
        <v>256200000</v>
      </c>
      <c r="C36" s="6">
        <v>198416340</v>
      </c>
      <c r="D36" s="6">
        <v>17267500</v>
      </c>
      <c r="E36" s="6">
        <f>C36+D36</f>
        <v>215683840</v>
      </c>
      <c r="F36" s="16">
        <f>E36/B36*100%</f>
        <v>0.8418572989851678</v>
      </c>
      <c r="G36" s="60">
        <f>E36-B36</f>
        <v>-40516160</v>
      </c>
    </row>
    <row r="37" spans="1:7" ht="15">
      <c r="A37" s="59" t="s">
        <v>24</v>
      </c>
      <c r="B37" s="23">
        <v>39600000</v>
      </c>
      <c r="C37" s="6">
        <v>22670185</v>
      </c>
      <c r="D37" s="6">
        <v>8760000</v>
      </c>
      <c r="E37" s="6">
        <f>C37+D37</f>
        <v>31430185</v>
      </c>
      <c r="F37" s="16">
        <f>E37/B37*100%</f>
        <v>0.7936915404040404</v>
      </c>
      <c r="G37" s="60">
        <f>E37-B37</f>
        <v>-8169815</v>
      </c>
    </row>
    <row r="38" spans="1:7" ht="15">
      <c r="A38" s="59" t="s">
        <v>101</v>
      </c>
      <c r="B38" s="23">
        <v>8000000</v>
      </c>
      <c r="C38" s="6">
        <v>0</v>
      </c>
      <c r="D38" s="6">
        <v>0</v>
      </c>
      <c r="E38" s="6">
        <f>C38+D38</f>
        <v>0</v>
      </c>
      <c r="F38" s="16">
        <f>E38/B38*100%</f>
        <v>0</v>
      </c>
      <c r="G38" s="60">
        <f>E38-B38</f>
        <v>-8000000</v>
      </c>
    </row>
    <row r="39" spans="1:7" ht="15">
      <c r="A39" s="59" t="s">
        <v>25</v>
      </c>
      <c r="B39" s="23">
        <v>208777000</v>
      </c>
      <c r="C39" s="36">
        <v>109074400</v>
      </c>
      <c r="D39" s="6">
        <v>13650000</v>
      </c>
      <c r="E39" s="6">
        <f>C39+D39</f>
        <v>122724400</v>
      </c>
      <c r="F39" s="16">
        <f>E39/B39*100%</f>
        <v>0.5878252872682336</v>
      </c>
      <c r="G39" s="60">
        <f>E39-B39</f>
        <v>-86052600</v>
      </c>
    </row>
    <row r="40" spans="1:7" ht="15">
      <c r="A40" s="58" t="s">
        <v>26</v>
      </c>
      <c r="B40" s="5">
        <f>SUM(B36:B39)</f>
        <v>512577000</v>
      </c>
      <c r="C40" s="5">
        <f>SUM(C36:C39)</f>
        <v>330160925</v>
      </c>
      <c r="D40" s="5">
        <f>SUM(D36:D39)</f>
        <v>39677500</v>
      </c>
      <c r="E40" s="5">
        <f>SUM(E36:E39)</f>
        <v>369838425</v>
      </c>
      <c r="F40" s="20">
        <f>E40/B40*100%</f>
        <v>0.721527546105268</v>
      </c>
      <c r="G40" s="62">
        <f>E40-B40</f>
        <v>-142738575</v>
      </c>
    </row>
    <row r="41" spans="1:7" ht="15">
      <c r="A41" s="1"/>
      <c r="B41" s="5"/>
      <c r="C41" s="5"/>
      <c r="D41" s="5"/>
      <c r="E41" s="5"/>
      <c r="F41" s="20"/>
      <c r="G41" s="62"/>
    </row>
    <row r="42" spans="1:7" ht="15">
      <c r="A42" s="1" t="s">
        <v>27</v>
      </c>
      <c r="B42" s="12"/>
      <c r="C42" s="12"/>
      <c r="D42" s="12"/>
      <c r="E42" s="6"/>
      <c r="F42" s="16"/>
      <c r="G42" s="60"/>
    </row>
    <row r="43" spans="1:7" ht="15">
      <c r="A43" s="59" t="s">
        <v>28</v>
      </c>
      <c r="B43" s="23">
        <v>520410000</v>
      </c>
      <c r="C43" s="36">
        <v>387741000</v>
      </c>
      <c r="D43" s="36">
        <v>0</v>
      </c>
      <c r="E43" s="6">
        <f>C43+D43</f>
        <v>387741000</v>
      </c>
      <c r="F43" s="16">
        <f>E43/B43*100%</f>
        <v>0.7450683115236064</v>
      </c>
      <c r="G43" s="60">
        <f>E43-B43</f>
        <v>-132669000</v>
      </c>
    </row>
    <row r="44" spans="1:7" ht="15">
      <c r="A44" s="58" t="s">
        <v>29</v>
      </c>
      <c r="B44" s="5">
        <f>SUM(B43)</f>
        <v>520410000</v>
      </c>
      <c r="C44" s="5">
        <f>SUM(C43)</f>
        <v>387741000</v>
      </c>
      <c r="D44" s="5">
        <f>SUM(D43)</f>
        <v>0</v>
      </c>
      <c r="E44" s="5">
        <f>SUM(E43)</f>
        <v>387741000</v>
      </c>
      <c r="F44" s="20">
        <f>E44/B44*100%</f>
        <v>0.7450683115236064</v>
      </c>
      <c r="G44" s="62">
        <f>E44-B44</f>
        <v>-132669000</v>
      </c>
    </row>
    <row r="45" spans="1:7" ht="15">
      <c r="A45" s="59"/>
      <c r="B45" s="6"/>
      <c r="C45" s="6"/>
      <c r="D45" s="6"/>
      <c r="E45" s="6"/>
      <c r="F45" s="16"/>
      <c r="G45" s="60"/>
    </row>
    <row r="46" spans="1:7" ht="15">
      <c r="A46" s="58" t="s">
        <v>30</v>
      </c>
      <c r="B46" s="12"/>
      <c r="C46" s="12"/>
      <c r="D46" s="12"/>
      <c r="E46" s="86"/>
      <c r="F46" s="16"/>
      <c r="G46" s="60"/>
    </row>
    <row r="47" spans="1:7" ht="15">
      <c r="A47" s="59" t="s">
        <v>31</v>
      </c>
      <c r="B47" s="23">
        <v>147700000</v>
      </c>
      <c r="C47" s="6">
        <v>129920000</v>
      </c>
      <c r="D47" s="6">
        <v>100000</v>
      </c>
      <c r="E47" s="6">
        <f>C47+D47</f>
        <v>130020000</v>
      </c>
      <c r="F47" s="20">
        <f>E47/B47*100%</f>
        <v>0.8802979011509817</v>
      </c>
      <c r="G47" s="62">
        <f>E47-B47</f>
        <v>-17680000</v>
      </c>
    </row>
    <row r="48" spans="1:7" ht="15.75">
      <c r="A48" s="61" t="s">
        <v>83</v>
      </c>
      <c r="B48" s="23">
        <v>12000000</v>
      </c>
      <c r="C48" s="6">
        <v>14950000</v>
      </c>
      <c r="D48" s="6">
        <v>0</v>
      </c>
      <c r="E48" s="6">
        <f>C48+D48</f>
        <v>14950000</v>
      </c>
      <c r="F48" s="20">
        <f>E48/B48*100%</f>
        <v>1.2458333333333333</v>
      </c>
      <c r="G48" s="62">
        <f>E48-B48</f>
        <v>2950000</v>
      </c>
    </row>
    <row r="49" spans="1:7" ht="15">
      <c r="A49" s="58" t="s">
        <v>32</v>
      </c>
      <c r="B49" s="5">
        <f>SUM(B47:B48)</f>
        <v>159700000</v>
      </c>
      <c r="C49" s="5">
        <f>SUM(C47:C48)</f>
        <v>144870000</v>
      </c>
      <c r="D49" s="5">
        <f>SUM(D47:D48)</f>
        <v>100000</v>
      </c>
      <c r="E49" s="5">
        <f>SUM(E47:E48)</f>
        <v>144970000</v>
      </c>
      <c r="F49" s="20">
        <f>E49/B49*100%</f>
        <v>0.9077645585472761</v>
      </c>
      <c r="G49" s="62">
        <f>E49-B49</f>
        <v>-14730000</v>
      </c>
    </row>
    <row r="50" spans="1:7" ht="15">
      <c r="A50" s="59"/>
      <c r="B50" s="6"/>
      <c r="C50" s="6"/>
      <c r="D50" s="6"/>
      <c r="E50" s="6"/>
      <c r="F50" s="16"/>
      <c r="G50" s="60"/>
    </row>
    <row r="51" spans="1:7" ht="15">
      <c r="A51" s="58" t="s">
        <v>33</v>
      </c>
      <c r="B51" s="12"/>
      <c r="C51" s="12"/>
      <c r="D51" s="18"/>
      <c r="E51" s="6"/>
      <c r="F51" s="16"/>
      <c r="G51" s="60"/>
    </row>
    <row r="52" spans="1:7" ht="15">
      <c r="A52" s="59" t="s">
        <v>34</v>
      </c>
      <c r="B52" s="23">
        <v>15000000</v>
      </c>
      <c r="C52" s="6">
        <v>22549909</v>
      </c>
      <c r="D52" s="6">
        <v>275000</v>
      </c>
      <c r="E52" s="6">
        <f>C52+D52</f>
        <v>22824909</v>
      </c>
      <c r="F52" s="16">
        <f>E52/B52*100%</f>
        <v>1.5216606</v>
      </c>
      <c r="G52" s="60">
        <f>E52-B52</f>
        <v>7824909</v>
      </c>
    </row>
    <row r="53" spans="1:7" ht="15">
      <c r="A53" s="59" t="s">
        <v>35</v>
      </c>
      <c r="B53" s="23">
        <v>40000000</v>
      </c>
      <c r="C53" s="6">
        <v>42360000</v>
      </c>
      <c r="D53" s="6">
        <v>0</v>
      </c>
      <c r="E53" s="6">
        <f>C53+D53</f>
        <v>42360000</v>
      </c>
      <c r="F53" s="16">
        <f>E53/B53*100%</f>
        <v>1.059</v>
      </c>
      <c r="G53" s="60">
        <f>E53-B53</f>
        <v>2360000</v>
      </c>
    </row>
    <row r="54" spans="1:7" ht="15">
      <c r="A54" s="58" t="s">
        <v>36</v>
      </c>
      <c r="B54" s="5">
        <f>SUM(B52:B53)</f>
        <v>55000000</v>
      </c>
      <c r="C54" s="5">
        <f>SUM(C52:C53)</f>
        <v>64909909</v>
      </c>
      <c r="D54" s="5">
        <f>SUM(D52:D53)</f>
        <v>275000</v>
      </c>
      <c r="E54" s="5">
        <f>SUM(E52:E53)</f>
        <v>65184909</v>
      </c>
      <c r="F54" s="20">
        <f>E54/B54*100%</f>
        <v>1.1851801636363637</v>
      </c>
      <c r="G54" s="62">
        <f>E54-B54</f>
        <v>10184909</v>
      </c>
    </row>
    <row r="55" spans="1:7" ht="15">
      <c r="A55" s="58"/>
      <c r="B55" s="5"/>
      <c r="C55" s="5">
        <v>0</v>
      </c>
      <c r="D55" s="5"/>
      <c r="E55" s="5"/>
      <c r="F55" s="16"/>
      <c r="G55" s="60"/>
    </row>
    <row r="56" spans="1:7" ht="15">
      <c r="A56" s="58" t="s">
        <v>84</v>
      </c>
      <c r="B56" s="5"/>
      <c r="C56" s="5"/>
      <c r="D56" s="5"/>
      <c r="E56" s="5"/>
      <c r="F56" s="16"/>
      <c r="G56" s="60"/>
    </row>
    <row r="57" spans="1:7" ht="15.75">
      <c r="A57" s="61" t="s">
        <v>85</v>
      </c>
      <c r="B57" s="23">
        <v>8100000</v>
      </c>
      <c r="C57" s="6">
        <v>11290000</v>
      </c>
      <c r="D57" s="6">
        <v>540000</v>
      </c>
      <c r="E57" s="6">
        <f>C57+D57</f>
        <v>11830000</v>
      </c>
      <c r="F57" s="16">
        <f>E57/B57*100%</f>
        <v>1.460493827160494</v>
      </c>
      <c r="G57" s="60">
        <f>E57-B57</f>
        <v>3730000</v>
      </c>
    </row>
    <row r="58" spans="1:7" ht="15.75">
      <c r="A58" s="63" t="s">
        <v>86</v>
      </c>
      <c r="B58" s="24">
        <f>SUM(B57)</f>
        <v>8100000</v>
      </c>
      <c r="C58" s="37">
        <f>SUM(C57)</f>
        <v>11290000</v>
      </c>
      <c r="D58" s="37">
        <f>SUM(D57)</f>
        <v>540000</v>
      </c>
      <c r="E58" s="37">
        <f>SUM(E57)</f>
        <v>11830000</v>
      </c>
      <c r="F58" s="20">
        <f>E58/B58*100%</f>
        <v>1.460493827160494</v>
      </c>
      <c r="G58" s="60">
        <f>E58-B58</f>
        <v>3730000</v>
      </c>
    </row>
    <row r="59" spans="1:7" ht="15">
      <c r="A59" s="59"/>
      <c r="B59" s="6"/>
      <c r="C59" s="6"/>
      <c r="D59" s="6"/>
      <c r="E59" s="6"/>
      <c r="F59" s="16"/>
      <c r="G59" s="60"/>
    </row>
    <row r="60" spans="1:7" ht="26.25">
      <c r="A60" s="64" t="s">
        <v>37</v>
      </c>
      <c r="B60" s="5">
        <f>B40+B44+B49+B54+B58</f>
        <v>1255787000</v>
      </c>
      <c r="C60" s="5">
        <f>C54+C49+C44+C40+C58</f>
        <v>938971834</v>
      </c>
      <c r="D60" s="5">
        <f>D54+D49+D44+D40+D58</f>
        <v>40592500</v>
      </c>
      <c r="E60" s="5">
        <f>E54+E49+E44+E40+E58</f>
        <v>979564334</v>
      </c>
      <c r="F60" s="20">
        <f>E60/B60*100%</f>
        <v>0.7800401931219227</v>
      </c>
      <c r="G60" s="62">
        <f>E60-B60</f>
        <v>-276222666</v>
      </c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64"/>
      <c r="B62" s="5"/>
      <c r="C62" s="5"/>
      <c r="D62" s="5"/>
      <c r="E62" s="5"/>
      <c r="F62" s="20"/>
      <c r="G62" s="62"/>
    </row>
    <row r="63" spans="1:7" ht="15">
      <c r="A63" s="58" t="s">
        <v>38</v>
      </c>
      <c r="B63" s="4"/>
      <c r="C63" s="12"/>
      <c r="D63" s="18"/>
      <c r="E63" s="6"/>
      <c r="F63" s="16"/>
      <c r="G63" s="60"/>
    </row>
    <row r="64" spans="1:7" ht="15">
      <c r="A64" s="58" t="s">
        <v>39</v>
      </c>
      <c r="B64" s="4"/>
      <c r="C64" s="12"/>
      <c r="D64" s="18"/>
      <c r="E64" s="6"/>
      <c r="F64" s="16"/>
      <c r="G64" s="60"/>
    </row>
    <row r="65" spans="1:7" ht="15">
      <c r="A65" s="59" t="s">
        <v>40</v>
      </c>
      <c r="B65" s="23">
        <v>650040000</v>
      </c>
      <c r="C65" s="6">
        <v>533256670.08</v>
      </c>
      <c r="D65" s="6">
        <f>120000+58000000</f>
        <v>58120000</v>
      </c>
      <c r="E65" s="6">
        <f>C65+D65</f>
        <v>591376670.0799999</v>
      </c>
      <c r="F65" s="16">
        <f aca="true" t="shared" si="3" ref="F65:F70">E65/B65*100%</f>
        <v>0.909754276782967</v>
      </c>
      <c r="G65" s="60">
        <f aca="true" t="shared" si="4" ref="G65:G70">E65-B65</f>
        <v>-58663329.92000008</v>
      </c>
    </row>
    <row r="66" spans="1:7" ht="15">
      <c r="A66" s="59" t="s">
        <v>41</v>
      </c>
      <c r="B66" s="23">
        <v>192000000</v>
      </c>
      <c r="C66" s="6">
        <v>178379000</v>
      </c>
      <c r="D66" s="6">
        <v>0</v>
      </c>
      <c r="E66" s="6">
        <f>C66+D66</f>
        <v>178379000</v>
      </c>
      <c r="F66" s="16">
        <f t="shared" si="3"/>
        <v>0.9290572916666666</v>
      </c>
      <c r="G66" s="60">
        <f t="shared" si="4"/>
        <v>-13621000</v>
      </c>
    </row>
    <row r="67" spans="1:7" ht="15">
      <c r="A67" s="59" t="s">
        <v>42</v>
      </c>
      <c r="B67" s="23">
        <v>589200000</v>
      </c>
      <c r="C67" s="6">
        <v>501126000</v>
      </c>
      <c r="D67" s="6">
        <v>0</v>
      </c>
      <c r="E67" s="6">
        <f>C67+D67</f>
        <v>501126000</v>
      </c>
      <c r="F67" s="16">
        <f t="shared" si="3"/>
        <v>0.8505193482688391</v>
      </c>
      <c r="G67" s="60">
        <f t="shared" si="4"/>
        <v>-88074000</v>
      </c>
    </row>
    <row r="68" spans="1:7" ht="15">
      <c r="A68" s="59" t="s">
        <v>43</v>
      </c>
      <c r="B68" s="23">
        <v>20400000</v>
      </c>
      <c r="C68" s="6">
        <v>19736000</v>
      </c>
      <c r="D68" s="6">
        <v>830500</v>
      </c>
      <c r="E68" s="6">
        <f>C68+D68</f>
        <v>20566500</v>
      </c>
      <c r="F68" s="16">
        <f t="shared" si="3"/>
        <v>1.0081617647058823</v>
      </c>
      <c r="G68" s="60">
        <f t="shared" si="4"/>
        <v>166500</v>
      </c>
    </row>
    <row r="69" spans="1:7" ht="15.75">
      <c r="A69" s="61" t="s">
        <v>87</v>
      </c>
      <c r="B69" s="23">
        <v>10800000</v>
      </c>
      <c r="C69" s="6">
        <v>11150000</v>
      </c>
      <c r="D69" s="6">
        <v>0</v>
      </c>
      <c r="E69" s="6">
        <f>C69+D69</f>
        <v>11150000</v>
      </c>
      <c r="F69" s="16">
        <f t="shared" si="3"/>
        <v>1.0324074074074074</v>
      </c>
      <c r="G69" s="60">
        <f t="shared" si="4"/>
        <v>350000</v>
      </c>
    </row>
    <row r="70" spans="1:7" ht="15">
      <c r="A70" s="58" t="s">
        <v>93</v>
      </c>
      <c r="B70" s="5">
        <f>SUM(B65:B69)</f>
        <v>1462440000</v>
      </c>
      <c r="C70" s="5">
        <f>SUM(C65:C69)</f>
        <v>1243647670.08</v>
      </c>
      <c r="D70" s="5">
        <f>SUM(D65:D69)</f>
        <v>58950500</v>
      </c>
      <c r="E70" s="5">
        <f>SUM(E65:E69)</f>
        <v>1302598170.08</v>
      </c>
      <c r="F70" s="20">
        <f t="shared" si="3"/>
        <v>0.8907019570580673</v>
      </c>
      <c r="G70" s="62">
        <f t="shared" si="4"/>
        <v>-159841829.92000008</v>
      </c>
    </row>
    <row r="71" spans="1:7" ht="15">
      <c r="A71" s="58"/>
      <c r="B71" s="5"/>
      <c r="C71" s="5"/>
      <c r="D71" s="5"/>
      <c r="E71" s="5"/>
      <c r="F71" s="20"/>
      <c r="G71" s="62"/>
    </row>
    <row r="72" spans="1:7" ht="15.75" thickBot="1">
      <c r="A72" s="81"/>
      <c r="B72" s="82"/>
      <c r="C72" s="82"/>
      <c r="D72" s="82"/>
      <c r="E72" s="82"/>
      <c r="F72" s="83"/>
      <c r="G72" s="84"/>
    </row>
    <row r="73" spans="1:7" ht="15">
      <c r="A73" s="67" t="s">
        <v>44</v>
      </c>
      <c r="B73" s="80"/>
      <c r="C73" s="44"/>
      <c r="D73" s="44"/>
      <c r="E73" s="48"/>
      <c r="F73" s="47"/>
      <c r="G73" s="68"/>
    </row>
    <row r="74" spans="1:7" ht="15">
      <c r="A74" s="58" t="s">
        <v>45</v>
      </c>
      <c r="B74" s="4"/>
      <c r="C74" s="12"/>
      <c r="D74" s="18"/>
      <c r="E74" s="6"/>
      <c r="F74" s="16"/>
      <c r="G74" s="60"/>
    </row>
    <row r="75" spans="1:7" ht="15">
      <c r="A75" s="59" t="s">
        <v>46</v>
      </c>
      <c r="B75" s="23">
        <v>462215165</v>
      </c>
      <c r="C75" s="6">
        <v>500000000</v>
      </c>
      <c r="D75" s="6">
        <v>0</v>
      </c>
      <c r="E75" s="6">
        <f>C75+D75</f>
        <v>500000000</v>
      </c>
      <c r="F75" s="16">
        <f>E75/B75*100%</f>
        <v>1.0817472853795267</v>
      </c>
      <c r="G75" s="60">
        <f>E75-B75</f>
        <v>37784835</v>
      </c>
    </row>
    <row r="76" spans="1:7" ht="15">
      <c r="A76" s="59" t="s">
        <v>47</v>
      </c>
      <c r="B76" s="23">
        <v>384000000</v>
      </c>
      <c r="C76" s="6">
        <v>32670000</v>
      </c>
      <c r="D76" s="6">
        <v>86148738.83</v>
      </c>
      <c r="E76" s="6">
        <f>C76+D76</f>
        <v>118818738.83</v>
      </c>
      <c r="F76" s="16">
        <f>E76/B76*100%</f>
        <v>0.30942379903645834</v>
      </c>
      <c r="G76" s="60">
        <f>E76-B76</f>
        <v>-265181261.17000002</v>
      </c>
    </row>
    <row r="77" spans="1:7" ht="15">
      <c r="A77" s="58" t="s">
        <v>48</v>
      </c>
      <c r="B77" s="5">
        <f>SUM(B75:B76)</f>
        <v>846215165</v>
      </c>
      <c r="C77" s="5">
        <f>SUM(C75:C76)</f>
        <v>532670000</v>
      </c>
      <c r="D77" s="5">
        <f>SUM(D75:D76)</f>
        <v>86148738.83</v>
      </c>
      <c r="E77" s="5">
        <f>SUM(E75:E76)</f>
        <v>618818738.83</v>
      </c>
      <c r="F77" s="20">
        <f>E77/B77*100%</f>
        <v>0.7312782427268365</v>
      </c>
      <c r="G77" s="62">
        <f>E77-B77</f>
        <v>-227396426.16999996</v>
      </c>
    </row>
    <row r="78" spans="1:7" ht="15">
      <c r="A78" s="58"/>
      <c r="B78" s="5"/>
      <c r="C78" s="5"/>
      <c r="D78" s="5"/>
      <c r="E78" s="5"/>
      <c r="F78" s="20"/>
      <c r="G78" s="62"/>
    </row>
    <row r="79" spans="1:7" ht="15">
      <c r="A79" s="58" t="s">
        <v>49</v>
      </c>
      <c r="B79" s="6"/>
      <c r="C79" s="6"/>
      <c r="D79" s="6"/>
      <c r="E79" s="6"/>
      <c r="F79" s="16"/>
      <c r="G79" s="60"/>
    </row>
    <row r="80" spans="1:7" ht="15">
      <c r="A80" s="59" t="s">
        <v>50</v>
      </c>
      <c r="B80" s="7">
        <v>2172844000</v>
      </c>
      <c r="C80" s="30">
        <v>1206044334.6399999</v>
      </c>
      <c r="D80" s="30">
        <f>41793916+190698500+19000000</f>
        <v>251492416</v>
      </c>
      <c r="E80" s="31">
        <f>C80+D80</f>
        <v>1457536750.6399999</v>
      </c>
      <c r="F80" s="16">
        <f>E80/B80*100%</f>
        <v>0.6707967763171216</v>
      </c>
      <c r="G80" s="60">
        <f>E80-B80</f>
        <v>-715307249.3600001</v>
      </c>
    </row>
    <row r="81" spans="1:7" ht="15">
      <c r="A81" s="64" t="s">
        <v>94</v>
      </c>
      <c r="B81" s="25">
        <f>B80</f>
        <v>2172844000</v>
      </c>
      <c r="C81" s="25">
        <f>C80</f>
        <v>1206044334.6399999</v>
      </c>
      <c r="D81" s="118">
        <f>D80</f>
        <v>251492416</v>
      </c>
      <c r="E81" s="25">
        <f>E80</f>
        <v>1457536750.6399999</v>
      </c>
      <c r="F81" s="20">
        <f>E81/B81*100%</f>
        <v>0.6707967763171216</v>
      </c>
      <c r="G81" s="62">
        <f>E81-B81</f>
        <v>-715307249.3600001</v>
      </c>
    </row>
    <row r="82" spans="1:7" ht="15">
      <c r="A82" s="64"/>
      <c r="B82" s="26"/>
      <c r="C82" s="29"/>
      <c r="D82" s="38"/>
      <c r="E82" s="38"/>
      <c r="F82" s="20"/>
      <c r="G82" s="62"/>
    </row>
    <row r="83" spans="1:7" ht="26.25">
      <c r="A83" s="64" t="s">
        <v>51</v>
      </c>
      <c r="B83" s="5">
        <f>B81+B77</f>
        <v>3019059165</v>
      </c>
      <c r="C83" s="32">
        <f>C81+C77</f>
        <v>1738714334.6399999</v>
      </c>
      <c r="D83" s="32">
        <f>D81+D77</f>
        <v>337641154.83</v>
      </c>
      <c r="E83" s="32">
        <f>E81+E77</f>
        <v>2076355489.4699998</v>
      </c>
      <c r="F83" s="20">
        <f>E83/B83*100%</f>
        <v>0.6877491880719734</v>
      </c>
      <c r="G83" s="62">
        <f>E83-B83</f>
        <v>-942703675.5300002</v>
      </c>
    </row>
    <row r="84" spans="1:7" ht="15">
      <c r="A84" s="58"/>
      <c r="B84" s="5"/>
      <c r="C84" s="32"/>
      <c r="D84" s="32"/>
      <c r="E84" s="31"/>
      <c r="F84" s="20"/>
      <c r="G84" s="62"/>
    </row>
    <row r="85" spans="1:7" ht="15">
      <c r="A85" s="58" t="s">
        <v>52</v>
      </c>
      <c r="B85" s="5">
        <f>B70+B77+B81</f>
        <v>4481499165</v>
      </c>
      <c r="C85" s="32">
        <f>C83+C70</f>
        <v>2982362004.72</v>
      </c>
      <c r="D85" s="32">
        <f>D83+D70</f>
        <v>396591654.83</v>
      </c>
      <c r="E85" s="32">
        <f>E83+E70</f>
        <v>3378953659.5499997</v>
      </c>
      <c r="F85" s="20">
        <f>E85/B85*100%</f>
        <v>0.7539784199758965</v>
      </c>
      <c r="G85" s="62">
        <f>E85-B85</f>
        <v>-1102545505.4500003</v>
      </c>
    </row>
    <row r="86" spans="1:7" ht="15">
      <c r="A86" s="58"/>
      <c r="B86" s="5"/>
      <c r="C86" s="32"/>
      <c r="D86" s="32"/>
      <c r="E86" s="31"/>
      <c r="F86" s="16"/>
      <c r="G86" s="60"/>
    </row>
    <row r="87" spans="1:7" ht="15">
      <c r="A87" s="58" t="s">
        <v>53</v>
      </c>
      <c r="B87" s="5">
        <f>B85+B60+B31</f>
        <v>11703629000</v>
      </c>
      <c r="C87" s="32">
        <f>C85+C60+C31</f>
        <v>8883526072.38</v>
      </c>
      <c r="D87" s="32">
        <f>D85+D60+D31</f>
        <v>683597740.72</v>
      </c>
      <c r="E87" s="32">
        <f>E85+E60+E31</f>
        <v>9567123813.099998</v>
      </c>
      <c r="F87" s="20">
        <f>E87/B87*100%</f>
        <v>0.8174493409779137</v>
      </c>
      <c r="G87" s="62">
        <f>E87-B87</f>
        <v>-2136505186.9000015</v>
      </c>
    </row>
    <row r="88" spans="1:7" ht="15">
      <c r="A88" s="1"/>
      <c r="B88" s="5"/>
      <c r="C88" s="32"/>
      <c r="D88" s="32"/>
      <c r="E88" s="32"/>
      <c r="F88" s="20"/>
      <c r="G88" s="5"/>
    </row>
    <row r="89" spans="1:7" ht="15">
      <c r="A89" s="67" t="s">
        <v>54</v>
      </c>
      <c r="B89" s="78"/>
      <c r="C89" s="45"/>
      <c r="D89" s="45"/>
      <c r="E89" s="79"/>
      <c r="F89" s="47"/>
      <c r="G89" s="68"/>
    </row>
    <row r="90" spans="1:7" ht="15">
      <c r="A90" s="58" t="s">
        <v>55</v>
      </c>
      <c r="B90" s="4"/>
      <c r="C90" s="123"/>
      <c r="D90" s="33"/>
      <c r="E90" s="32"/>
      <c r="F90" s="16"/>
      <c r="G90" s="60"/>
    </row>
    <row r="91" spans="1:7" ht="15">
      <c r="A91" s="58" t="s">
        <v>56</v>
      </c>
      <c r="B91" s="12"/>
      <c r="C91" s="39"/>
      <c r="D91" s="39"/>
      <c r="E91" s="32"/>
      <c r="F91" s="16"/>
      <c r="G91" s="60"/>
    </row>
    <row r="92" spans="1:7" ht="15">
      <c r="A92" s="59" t="s">
        <v>80</v>
      </c>
      <c r="B92" s="18">
        <f>670523000+42088000</f>
        <v>712611000</v>
      </c>
      <c r="C92" s="40">
        <v>641956000</v>
      </c>
      <c r="D92" s="40">
        <v>0</v>
      </c>
      <c r="E92" s="40">
        <f>C92+D92</f>
        <v>641956000</v>
      </c>
      <c r="F92" s="16">
        <f>E92/B92*100%</f>
        <v>0.9008505341623971</v>
      </c>
      <c r="G92" s="60">
        <f>E92-B92</f>
        <v>-70655000</v>
      </c>
    </row>
    <row r="93" spans="1:7" ht="15">
      <c r="A93" s="59" t="s">
        <v>57</v>
      </c>
      <c r="B93" s="6">
        <v>333315000</v>
      </c>
      <c r="C93" s="40">
        <v>129477000</v>
      </c>
      <c r="D93" s="40">
        <v>0</v>
      </c>
      <c r="E93" s="40">
        <f aca="true" t="shared" si="5" ref="E93:E98">C93+D93</f>
        <v>129477000</v>
      </c>
      <c r="F93" s="16">
        <f aca="true" t="shared" si="6" ref="F93:F99">E93/B93*100%</f>
        <v>0.3884523648800684</v>
      </c>
      <c r="G93" s="60">
        <f aca="true" t="shared" si="7" ref="G93:G99">E93-B93</f>
        <v>-203838000</v>
      </c>
    </row>
    <row r="94" spans="1:7" ht="15">
      <c r="A94" s="59" t="s">
        <v>58</v>
      </c>
      <c r="B94" s="17">
        <v>1099360000</v>
      </c>
      <c r="C94" s="40">
        <v>310673000</v>
      </c>
      <c r="D94" s="40">
        <v>0</v>
      </c>
      <c r="E94" s="40">
        <f t="shared" si="5"/>
        <v>310673000</v>
      </c>
      <c r="F94" s="16">
        <f t="shared" si="6"/>
        <v>0.2825944185708048</v>
      </c>
      <c r="G94" s="60">
        <f t="shared" si="7"/>
        <v>-788687000</v>
      </c>
    </row>
    <row r="95" spans="1:7" ht="15">
      <c r="A95" s="59" t="s">
        <v>59</v>
      </c>
      <c r="B95" s="17">
        <v>1647264000</v>
      </c>
      <c r="C95" s="40">
        <v>1229651000</v>
      </c>
      <c r="D95" s="40">
        <v>0</v>
      </c>
      <c r="E95" s="40">
        <f t="shared" si="5"/>
        <v>1229651000</v>
      </c>
      <c r="F95" s="16">
        <f t="shared" si="6"/>
        <v>0.7464808312450221</v>
      </c>
      <c r="G95" s="60">
        <f t="shared" si="7"/>
        <v>-417613000</v>
      </c>
    </row>
    <row r="96" spans="1:7" ht="15">
      <c r="A96" s="59" t="s">
        <v>60</v>
      </c>
      <c r="B96" s="17">
        <f>24982000+5421000</f>
        <v>30403000</v>
      </c>
      <c r="C96" s="40">
        <v>2712000</v>
      </c>
      <c r="D96" s="40">
        <v>0</v>
      </c>
      <c r="E96" s="40">
        <f t="shared" si="5"/>
        <v>2712000</v>
      </c>
      <c r="F96" s="16">
        <f t="shared" si="6"/>
        <v>0.08920172351412689</v>
      </c>
      <c r="G96" s="60">
        <f t="shared" si="7"/>
        <v>-27691000</v>
      </c>
    </row>
    <row r="97" spans="1:7" ht="15">
      <c r="A97" s="59" t="s">
        <v>61</v>
      </c>
      <c r="B97" s="17">
        <v>27938000</v>
      </c>
      <c r="C97" s="40">
        <v>4656000</v>
      </c>
      <c r="D97" s="40">
        <v>0</v>
      </c>
      <c r="E97" s="40">
        <f t="shared" si="5"/>
        <v>4656000</v>
      </c>
      <c r="F97" s="16">
        <f t="shared" si="6"/>
        <v>0.16665473548571838</v>
      </c>
      <c r="G97" s="60">
        <f t="shared" si="7"/>
        <v>-23282000</v>
      </c>
    </row>
    <row r="98" spans="1:7" ht="15">
      <c r="A98" s="59" t="s">
        <v>62</v>
      </c>
      <c r="B98" s="17">
        <v>17132000</v>
      </c>
      <c r="C98" s="40">
        <v>2382000</v>
      </c>
      <c r="D98" s="40">
        <v>0</v>
      </c>
      <c r="E98" s="40">
        <f t="shared" si="5"/>
        <v>2382000</v>
      </c>
      <c r="F98" s="16">
        <f t="shared" si="6"/>
        <v>0.13903805743637637</v>
      </c>
      <c r="G98" s="60">
        <f t="shared" si="7"/>
        <v>-14750000</v>
      </c>
    </row>
    <row r="99" spans="1:7" ht="15">
      <c r="A99" s="65" t="s">
        <v>63</v>
      </c>
      <c r="B99" s="41">
        <f>SUM(B92:B98)</f>
        <v>3868023000</v>
      </c>
      <c r="C99" s="42">
        <f>SUM(C92:C98)</f>
        <v>2321507000</v>
      </c>
      <c r="D99" s="42">
        <f>SUM(D92:D98)</f>
        <v>0</v>
      </c>
      <c r="E99" s="42">
        <f>SUM(E92:E98)</f>
        <v>2321507000</v>
      </c>
      <c r="F99" s="43">
        <f t="shared" si="6"/>
        <v>0.600179212998475</v>
      </c>
      <c r="G99" s="66">
        <f t="shared" si="7"/>
        <v>-1546516000</v>
      </c>
    </row>
    <row r="100" spans="1:7" ht="15">
      <c r="A100" s="58"/>
      <c r="B100" s="5"/>
      <c r="C100" s="32"/>
      <c r="D100" s="32"/>
      <c r="E100" s="32"/>
      <c r="F100" s="20"/>
      <c r="G100" s="62"/>
    </row>
    <row r="101" spans="1:7" ht="15">
      <c r="A101" s="67" t="s">
        <v>64</v>
      </c>
      <c r="B101" s="44"/>
      <c r="C101" s="45"/>
      <c r="D101" s="45"/>
      <c r="E101" s="46"/>
      <c r="F101" s="47"/>
      <c r="G101" s="68"/>
    </row>
    <row r="102" spans="1:7" ht="15">
      <c r="A102" s="59" t="s">
        <v>65</v>
      </c>
      <c r="B102" s="6">
        <v>38649464000</v>
      </c>
      <c r="C102" s="85">
        <v>29585552054.466663</v>
      </c>
      <c r="D102" s="116">
        <v>2840739142</v>
      </c>
      <c r="E102" s="31">
        <f>C102+D102</f>
        <v>32426291196.466663</v>
      </c>
      <c r="F102" s="16">
        <f>E102/B102*100%</f>
        <v>0.8389842404144767</v>
      </c>
      <c r="G102" s="60">
        <f>E102-B102</f>
        <v>-6223172803.533337</v>
      </c>
    </row>
    <row r="103" spans="1:7" ht="15">
      <c r="A103" s="58" t="s">
        <v>66</v>
      </c>
      <c r="B103" s="5">
        <f>SUM(B102)</f>
        <v>38649464000</v>
      </c>
      <c r="C103" s="32">
        <f>SUM(C102)</f>
        <v>29585552054.466663</v>
      </c>
      <c r="D103" s="32">
        <f>SUM(D102)</f>
        <v>2840739142</v>
      </c>
      <c r="E103" s="32">
        <f>SUM(E102)</f>
        <v>32426291196.466663</v>
      </c>
      <c r="F103" s="20">
        <f>E103/B103*100%</f>
        <v>0.8389842404144767</v>
      </c>
      <c r="G103" s="62">
        <f>E103-B103</f>
        <v>-6223172803.533337</v>
      </c>
    </row>
    <row r="104" spans="1:7" ht="15">
      <c r="A104" s="59"/>
      <c r="B104" s="6"/>
      <c r="C104" s="31"/>
      <c r="D104" s="31"/>
      <c r="E104" s="31"/>
      <c r="F104" s="16"/>
      <c r="G104" s="60"/>
    </row>
    <row r="105" spans="1:7" ht="15">
      <c r="A105" s="58" t="s">
        <v>67</v>
      </c>
      <c r="B105" s="5">
        <f>B103+B99</f>
        <v>42517487000</v>
      </c>
      <c r="C105" s="32">
        <f>C103+C99</f>
        <v>31907059054.466663</v>
      </c>
      <c r="D105" s="32">
        <f>D103+D99</f>
        <v>2840739142</v>
      </c>
      <c r="E105" s="32">
        <f>E103+E99</f>
        <v>34747798196.46666</v>
      </c>
      <c r="F105" s="20">
        <f>E105/B105*100%</f>
        <v>0.8172589832617967</v>
      </c>
      <c r="G105" s="62">
        <f>E105-B105</f>
        <v>-7769688803.53334</v>
      </c>
    </row>
    <row r="106" spans="1:7" ht="15">
      <c r="A106" s="56"/>
      <c r="B106" s="114"/>
      <c r="C106" s="99"/>
      <c r="D106" s="69"/>
      <c r="E106" s="100"/>
      <c r="F106" s="101"/>
      <c r="G106" s="102"/>
    </row>
    <row r="107" spans="1:7" ht="15">
      <c r="A107" s="98"/>
      <c r="B107" s="103"/>
      <c r="C107" s="104"/>
      <c r="D107" s="105"/>
      <c r="E107" s="106"/>
      <c r="F107" s="97"/>
      <c r="G107" s="6"/>
    </row>
    <row r="108" spans="1:7" ht="15">
      <c r="A108" s="58" t="s">
        <v>68</v>
      </c>
      <c r="B108" s="115"/>
      <c r="C108" s="45"/>
      <c r="D108" s="45"/>
      <c r="E108" s="46"/>
      <c r="F108" s="47"/>
      <c r="G108" s="68"/>
    </row>
    <row r="109" spans="1:7" ht="15">
      <c r="A109" s="59" t="s">
        <v>69</v>
      </c>
      <c r="B109" s="6">
        <v>10415000</v>
      </c>
      <c r="C109" s="31">
        <v>0</v>
      </c>
      <c r="D109" s="31">
        <v>0</v>
      </c>
      <c r="E109" s="31">
        <v>0</v>
      </c>
      <c r="F109" s="16">
        <f aca="true" t="shared" si="8" ref="F109:F120">E109/B109*100%</f>
        <v>0</v>
      </c>
      <c r="G109" s="60">
        <f aca="true" t="shared" si="9" ref="G109:G120">E109-B109</f>
        <v>-10415000</v>
      </c>
    </row>
    <row r="110" spans="1:7" ht="15">
      <c r="A110" s="59" t="s">
        <v>70</v>
      </c>
      <c r="B110" s="6">
        <v>434189000</v>
      </c>
      <c r="C110" s="31">
        <v>218745500</v>
      </c>
      <c r="D110" s="31">
        <v>0</v>
      </c>
      <c r="E110" s="31">
        <f aca="true" t="shared" si="10" ref="E110:E118">C110+D110</f>
        <v>218745500</v>
      </c>
      <c r="F110" s="16">
        <f t="shared" si="8"/>
        <v>0.5038024915417019</v>
      </c>
      <c r="G110" s="60">
        <f t="shared" si="9"/>
        <v>-215443500</v>
      </c>
    </row>
    <row r="111" spans="1:7" ht="15">
      <c r="A111" s="59" t="s">
        <v>71</v>
      </c>
      <c r="B111" s="6">
        <v>18838000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-18838000</v>
      </c>
    </row>
    <row r="112" spans="1:7" ht="15">
      <c r="A112" s="59" t="s">
        <v>78</v>
      </c>
      <c r="B112" s="6">
        <v>1646097000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-1646097000</v>
      </c>
    </row>
    <row r="113" spans="1:7" ht="15">
      <c r="A113" s="59" t="s">
        <v>72</v>
      </c>
      <c r="B113" s="6">
        <v>1151698000</v>
      </c>
      <c r="C113" s="31">
        <v>258091866</v>
      </c>
      <c r="D113" s="31">
        <v>0</v>
      </c>
      <c r="E113" s="31">
        <f t="shared" si="10"/>
        <v>258091866</v>
      </c>
      <c r="F113" s="16">
        <f t="shared" si="8"/>
        <v>0.22409682573035639</v>
      </c>
      <c r="G113" s="60">
        <f t="shared" si="9"/>
        <v>-893606134</v>
      </c>
    </row>
    <row r="114" spans="1:7" ht="15">
      <c r="A114" s="59" t="s">
        <v>133</v>
      </c>
      <c r="B114" s="6">
        <v>0</v>
      </c>
      <c r="C114" s="31">
        <v>21044000</v>
      </c>
      <c r="D114" s="31">
        <v>0</v>
      </c>
      <c r="E114" s="31">
        <f t="shared" si="10"/>
        <v>21044000</v>
      </c>
      <c r="F114" s="16">
        <v>0</v>
      </c>
      <c r="G114" s="60">
        <f t="shared" si="9"/>
        <v>21044000</v>
      </c>
    </row>
    <row r="115" spans="1:7" ht="15">
      <c r="A115" s="59" t="s">
        <v>73</v>
      </c>
      <c r="B115" s="6">
        <v>85819000</v>
      </c>
      <c r="C115" s="31">
        <v>419870580.86</v>
      </c>
      <c r="D115" s="31">
        <v>0</v>
      </c>
      <c r="E115" s="31">
        <f t="shared" si="10"/>
        <v>419870580.86</v>
      </c>
      <c r="F115" s="16">
        <f t="shared" si="8"/>
        <v>4.8925130898752025</v>
      </c>
      <c r="G115" s="60">
        <f t="shared" si="9"/>
        <v>334051580.86</v>
      </c>
    </row>
    <row r="116" spans="1:7" ht="15">
      <c r="A116" s="59" t="s">
        <v>104</v>
      </c>
      <c r="B116" s="6">
        <v>0</v>
      </c>
      <c r="C116" s="31">
        <v>2014240500</v>
      </c>
      <c r="D116" s="31">
        <v>354766500</v>
      </c>
      <c r="E116" s="31">
        <f t="shared" si="10"/>
        <v>2369007000</v>
      </c>
      <c r="F116" s="16">
        <v>0</v>
      </c>
      <c r="G116" s="60">
        <f t="shared" si="9"/>
        <v>2369007000</v>
      </c>
    </row>
    <row r="117" spans="1:7" ht="15">
      <c r="A117" s="59" t="s">
        <v>110</v>
      </c>
      <c r="B117" s="6">
        <v>0</v>
      </c>
      <c r="C117" s="31">
        <v>582308209.3</v>
      </c>
      <c r="D117" s="31">
        <v>0</v>
      </c>
      <c r="E117" s="31">
        <f>C117+D117</f>
        <v>582308209.3</v>
      </c>
      <c r="F117" s="16">
        <v>0</v>
      </c>
      <c r="G117" s="60">
        <f>E117-B117</f>
        <v>582308209.3</v>
      </c>
    </row>
    <row r="118" spans="1:7" ht="15">
      <c r="A118" s="59" t="s">
        <v>74</v>
      </c>
      <c r="B118" s="6">
        <v>32713000</v>
      </c>
      <c r="C118" s="31">
        <v>115625421</v>
      </c>
      <c r="D118" s="31">
        <v>0</v>
      </c>
      <c r="E118" s="31">
        <f t="shared" si="10"/>
        <v>115625421</v>
      </c>
      <c r="F118" s="16">
        <f t="shared" si="8"/>
        <v>3.53454042735304</v>
      </c>
      <c r="G118" s="60">
        <f t="shared" si="9"/>
        <v>82912421</v>
      </c>
    </row>
    <row r="119" spans="1:7" ht="20.25" customHeight="1">
      <c r="A119" s="58" t="s">
        <v>75</v>
      </c>
      <c r="B119" s="5">
        <f>SUM(B109:B118)</f>
        <v>3379769000</v>
      </c>
      <c r="C119" s="32">
        <f>SUM(C109:C118)</f>
        <v>3629926077.16</v>
      </c>
      <c r="D119" s="32">
        <f>SUM(D109:D118)</f>
        <v>354766500</v>
      </c>
      <c r="E119" s="32">
        <f>SUM(E109:E118)</f>
        <v>3984692577.16</v>
      </c>
      <c r="F119" s="20">
        <f t="shared" si="8"/>
        <v>1.1789837048508345</v>
      </c>
      <c r="G119" s="60">
        <f t="shared" si="9"/>
        <v>604923577.1599998</v>
      </c>
    </row>
    <row r="120" spans="1:7" ht="21" customHeight="1">
      <c r="A120" s="65" t="s">
        <v>76</v>
      </c>
      <c r="B120" s="41">
        <f>B119+B105</f>
        <v>45897256000</v>
      </c>
      <c r="C120" s="42">
        <f>C119+C105</f>
        <v>35536985131.62666</v>
      </c>
      <c r="D120" s="42">
        <f>D119+D105</f>
        <v>3195505642</v>
      </c>
      <c r="E120" s="42">
        <f>E119+E105</f>
        <v>38732490773.62666</v>
      </c>
      <c r="F120" s="43">
        <f t="shared" si="8"/>
        <v>0.8438955647724705</v>
      </c>
      <c r="G120" s="66">
        <f t="shared" si="9"/>
        <v>-7164765226.373337</v>
      </c>
    </row>
    <row r="121" spans="1:7" ht="21" customHeight="1">
      <c r="A121" s="1"/>
      <c r="B121" s="5"/>
      <c r="C121" s="32"/>
      <c r="D121" s="32"/>
      <c r="E121" s="32"/>
      <c r="F121" s="20"/>
      <c r="G121" s="5"/>
    </row>
    <row r="122" spans="1:7" ht="20.25" customHeight="1">
      <c r="A122" s="93" t="s">
        <v>96</v>
      </c>
      <c r="B122" s="94"/>
      <c r="C122" s="92"/>
      <c r="D122" s="92"/>
      <c r="E122" s="92"/>
      <c r="F122" s="95"/>
      <c r="G122" s="96"/>
    </row>
    <row r="123" spans="1:7" ht="20.25" customHeight="1">
      <c r="A123" s="59" t="s">
        <v>124</v>
      </c>
      <c r="B123" s="6">
        <v>0</v>
      </c>
      <c r="C123" s="31">
        <v>12233921.7</v>
      </c>
      <c r="D123" s="31">
        <v>0</v>
      </c>
      <c r="E123" s="31">
        <f>C123+D123</f>
        <v>12233921.7</v>
      </c>
      <c r="F123" s="16">
        <v>1</v>
      </c>
      <c r="G123" s="60">
        <f>E123-B123</f>
        <v>12233921.7</v>
      </c>
    </row>
    <row r="124" spans="1:7" ht="17.25" customHeight="1">
      <c r="A124" s="59" t="s">
        <v>92</v>
      </c>
      <c r="B124" s="6">
        <v>0</v>
      </c>
      <c r="C124" s="31">
        <v>0</v>
      </c>
      <c r="D124" s="31">
        <v>0</v>
      </c>
      <c r="E124" s="31">
        <f>C124+D124</f>
        <v>0</v>
      </c>
      <c r="F124" s="16">
        <v>1</v>
      </c>
      <c r="G124" s="60">
        <f>E124-B124</f>
        <v>0</v>
      </c>
    </row>
    <row r="125" spans="1:7" ht="21" customHeight="1" thickBot="1">
      <c r="A125" s="93" t="s">
        <v>97</v>
      </c>
      <c r="B125" s="94">
        <f>SUM(B123:B124)</f>
        <v>0</v>
      </c>
      <c r="C125" s="94">
        <f>SUM(C123:C124)</f>
        <v>12233921.7</v>
      </c>
      <c r="D125" s="94">
        <f>SUM(D123:D124)</f>
        <v>0</v>
      </c>
      <c r="E125" s="42">
        <f>C125+D125</f>
        <v>12233921.7</v>
      </c>
      <c r="F125" s="43">
        <v>1</v>
      </c>
      <c r="G125" s="66">
        <f>E125-B125</f>
        <v>12233921.7</v>
      </c>
    </row>
    <row r="126" spans="1:7" ht="21" customHeight="1" thickBot="1">
      <c r="A126" s="49" t="s">
        <v>98</v>
      </c>
      <c r="B126" s="50">
        <f>B119+B125</f>
        <v>3379769000</v>
      </c>
      <c r="C126" s="50">
        <f>C119+C125</f>
        <v>3642159998.8599997</v>
      </c>
      <c r="D126" s="50">
        <f>D119+D125</f>
        <v>354766500</v>
      </c>
      <c r="E126" s="50">
        <f>E119+E125</f>
        <v>3996926498.8599997</v>
      </c>
      <c r="F126" s="51">
        <f>E126/B126*100%</f>
        <v>1.1826034556977119</v>
      </c>
      <c r="G126" s="52">
        <f>E126-B126</f>
        <v>617157498.8599997</v>
      </c>
    </row>
    <row r="127" spans="1:7" ht="28.5" customHeight="1" thickBot="1">
      <c r="A127" s="49" t="s">
        <v>77</v>
      </c>
      <c r="B127" s="50">
        <f>B120+B87+B125</f>
        <v>57600885000</v>
      </c>
      <c r="C127" s="50">
        <f>C120+C87+C126</f>
        <v>48062671202.86666</v>
      </c>
      <c r="D127" s="50">
        <f>D120+D87+D125</f>
        <v>3879103382.7200003</v>
      </c>
      <c r="E127" s="50">
        <f>E120+E87+E126</f>
        <v>52296541085.58666</v>
      </c>
      <c r="F127" s="51">
        <f>E127/B127*100%</f>
        <v>0.9079121108223712</v>
      </c>
      <c r="G127" s="52">
        <f>E127-B127</f>
        <v>-5304343914.413338</v>
      </c>
    </row>
    <row r="128" spans="3:5" ht="15">
      <c r="C128" s="129"/>
      <c r="E128" s="113"/>
    </row>
    <row r="129" spans="2:5" ht="15">
      <c r="B129" s="113"/>
      <c r="D129" s="113"/>
      <c r="E129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20"/>
  <sheetViews>
    <sheetView tabSelected="1" zoomScalePageLayoutView="0" workbookViewId="0" topLeftCell="A1">
      <selection activeCell="B105" sqref="B105"/>
    </sheetView>
  </sheetViews>
  <sheetFormatPr defaultColWidth="9.140625" defaultRowHeight="15"/>
  <cols>
    <col min="2" max="2" width="57.57421875" style="0" customWidth="1"/>
    <col min="3" max="3" width="30.28125" style="0" customWidth="1"/>
  </cols>
  <sheetData>
    <row r="1" spans="2:3" ht="18">
      <c r="B1" s="13"/>
      <c r="C1" s="2"/>
    </row>
    <row r="2" spans="2:3" ht="20.25">
      <c r="B2" s="13"/>
      <c r="C2" s="27"/>
    </row>
    <row r="3" spans="2:3" ht="18" customHeight="1">
      <c r="B3" s="13"/>
      <c r="C3" s="28"/>
    </row>
    <row r="4" spans="2:3" ht="15.75">
      <c r="B4" s="133" t="s">
        <v>152</v>
      </c>
      <c r="C4" s="133"/>
    </row>
    <row r="5" spans="2:3" ht="18">
      <c r="B5" s="134" t="s">
        <v>2</v>
      </c>
      <c r="C5" s="134"/>
    </row>
    <row r="6" spans="2:3" ht="18">
      <c r="B6" s="134" t="s">
        <v>150</v>
      </c>
      <c r="C6" s="134"/>
    </row>
    <row r="7" spans="2:3" ht="18.75" thickBot="1">
      <c r="B7" s="35"/>
      <c r="C7" s="22"/>
    </row>
    <row r="8" spans="2:3" ht="15.75">
      <c r="B8" s="146" t="s">
        <v>151</v>
      </c>
      <c r="C8" s="147" t="s">
        <v>3</v>
      </c>
    </row>
    <row r="9" spans="2:3" ht="16.5" thickBot="1">
      <c r="B9" s="148"/>
      <c r="C9" s="149" t="s">
        <v>140</v>
      </c>
    </row>
    <row r="10" spans="2:3" ht="15.75">
      <c r="B10" s="135" t="s">
        <v>7</v>
      </c>
      <c r="C10" s="150"/>
    </row>
    <row r="11" spans="2:3" ht="15.75">
      <c r="B11" s="136" t="s">
        <v>149</v>
      </c>
      <c r="C11" s="151"/>
    </row>
    <row r="12" spans="2:3" ht="15.75">
      <c r="B12" s="137" t="s">
        <v>8</v>
      </c>
      <c r="C12" s="151"/>
    </row>
    <row r="13" spans="2:3" ht="15.75">
      <c r="B13" s="138" t="s">
        <v>90</v>
      </c>
      <c r="C13" s="152">
        <v>64800000</v>
      </c>
    </row>
    <row r="14" spans="2:3" ht="15.75">
      <c r="B14" s="61" t="s">
        <v>82</v>
      </c>
      <c r="C14" s="152">
        <v>32400000</v>
      </c>
    </row>
    <row r="15" spans="2:3" ht="15.75">
      <c r="B15" s="137" t="s">
        <v>9</v>
      </c>
      <c r="C15" s="153">
        <f>SUM(C13:C14)</f>
        <v>97200000</v>
      </c>
    </row>
    <row r="16" spans="2:3" ht="15.75">
      <c r="B16" s="137"/>
      <c r="C16" s="153"/>
    </row>
    <row r="17" spans="2:3" ht="15.75">
      <c r="B17" s="137" t="s">
        <v>10</v>
      </c>
      <c r="C17" s="151"/>
    </row>
    <row r="18" spans="2:3" ht="15.75">
      <c r="B18" s="138" t="s">
        <v>11</v>
      </c>
      <c r="C18" s="152">
        <v>30000000</v>
      </c>
    </row>
    <row r="19" spans="2:3" ht="15.75">
      <c r="B19" s="138" t="s">
        <v>12</v>
      </c>
      <c r="C19" s="152">
        <v>10000000</v>
      </c>
    </row>
    <row r="20" spans="2:3" ht="15.75">
      <c r="B20" s="138" t="s">
        <v>13</v>
      </c>
      <c r="C20" s="152">
        <v>40145000</v>
      </c>
    </row>
    <row r="21" spans="2:3" ht="15.75">
      <c r="B21" s="138" t="s">
        <v>91</v>
      </c>
      <c r="C21" s="152">
        <v>1561100000</v>
      </c>
    </row>
    <row r="22" spans="2:3" ht="15.75">
      <c r="B22" s="138" t="s">
        <v>81</v>
      </c>
      <c r="C22" s="152">
        <v>14600000</v>
      </c>
    </row>
    <row r="23" spans="2:3" ht="15.75">
      <c r="B23" s="138" t="s">
        <v>14</v>
      </c>
      <c r="C23" s="152">
        <v>3402000000</v>
      </c>
    </row>
    <row r="24" spans="2:3" ht="15.75">
      <c r="B24" s="138" t="s">
        <v>15</v>
      </c>
      <c r="C24" s="152">
        <v>9600000</v>
      </c>
    </row>
    <row r="25" spans="2:3" ht="15.75">
      <c r="B25" s="138" t="s">
        <v>16</v>
      </c>
      <c r="C25" s="152">
        <v>1396060000</v>
      </c>
    </row>
    <row r="26" spans="2:3" ht="15.75">
      <c r="B26" s="138" t="s">
        <v>141</v>
      </c>
      <c r="C26" s="152">
        <v>880920000</v>
      </c>
    </row>
    <row r="27" spans="2:3" ht="15.75">
      <c r="B27" s="137" t="s">
        <v>17</v>
      </c>
      <c r="C27" s="153">
        <f>SUM(C18:C26)</f>
        <v>7344425000</v>
      </c>
    </row>
    <row r="28" spans="2:3" ht="15.75">
      <c r="B28" s="137"/>
      <c r="C28" s="153"/>
    </row>
    <row r="29" spans="2:3" ht="15.75">
      <c r="B29" s="137" t="s">
        <v>18</v>
      </c>
      <c r="C29" s="151"/>
    </row>
    <row r="30" spans="2:3" ht="15.75">
      <c r="B30" s="139" t="s">
        <v>12</v>
      </c>
      <c r="C30" s="152">
        <v>3000000</v>
      </c>
    </row>
    <row r="31" spans="2:3" ht="15.75">
      <c r="B31" s="137" t="s">
        <v>19</v>
      </c>
      <c r="C31" s="153">
        <f>SUM(C30)</f>
        <v>3000000</v>
      </c>
    </row>
    <row r="32" spans="2:3" ht="15.75">
      <c r="B32" s="137" t="s">
        <v>20</v>
      </c>
      <c r="C32" s="153">
        <f>C31+C27+C15</f>
        <v>7444625000</v>
      </c>
    </row>
    <row r="33" spans="2:3" ht="15.75">
      <c r="B33" s="137"/>
      <c r="C33" s="153"/>
    </row>
    <row r="34" spans="2:3" ht="15.75">
      <c r="B34" s="142" t="s">
        <v>153</v>
      </c>
      <c r="C34" s="153"/>
    </row>
    <row r="35" spans="2:3" ht="15.75">
      <c r="B35" s="137" t="s">
        <v>22</v>
      </c>
      <c r="C35" s="154"/>
    </row>
    <row r="36" spans="2:3" ht="15.75">
      <c r="B36" s="138" t="s">
        <v>23</v>
      </c>
      <c r="C36" s="152">
        <v>256200000</v>
      </c>
    </row>
    <row r="37" spans="2:3" ht="15.75">
      <c r="B37" s="138" t="s">
        <v>24</v>
      </c>
      <c r="C37" s="152">
        <v>39600000</v>
      </c>
    </row>
    <row r="38" spans="2:3" ht="15.75">
      <c r="B38" s="138" t="s">
        <v>101</v>
      </c>
      <c r="C38" s="152">
        <v>8000000</v>
      </c>
    </row>
    <row r="39" spans="2:3" ht="15.75">
      <c r="B39" s="138" t="s">
        <v>25</v>
      </c>
      <c r="C39" s="152">
        <v>266399000</v>
      </c>
    </row>
    <row r="40" spans="2:3" ht="15.75">
      <c r="B40" s="137" t="s">
        <v>26</v>
      </c>
      <c r="C40" s="153">
        <f>SUM(C36:C39)</f>
        <v>570199000</v>
      </c>
    </row>
    <row r="41" spans="2:3" ht="16.5" thickBot="1">
      <c r="B41" s="140"/>
      <c r="C41" s="155"/>
    </row>
    <row r="42" spans="2:3" ht="15.75">
      <c r="B42" s="141" t="s">
        <v>27</v>
      </c>
      <c r="C42" s="156"/>
    </row>
    <row r="43" spans="2:3" ht="15.75">
      <c r="B43" s="138" t="s">
        <v>28</v>
      </c>
      <c r="C43" s="152">
        <v>204890000</v>
      </c>
    </row>
    <row r="44" spans="2:3" ht="15.75">
      <c r="B44" s="137" t="s">
        <v>29</v>
      </c>
      <c r="C44" s="153">
        <f>SUM(C43)</f>
        <v>204890000</v>
      </c>
    </row>
    <row r="45" spans="2:3" ht="15.75">
      <c r="B45" s="138"/>
      <c r="C45" s="157"/>
    </row>
    <row r="46" spans="2:3" ht="15.75">
      <c r="B46" s="137" t="s">
        <v>30</v>
      </c>
      <c r="C46" s="151"/>
    </row>
    <row r="47" spans="2:3" ht="15.75">
      <c r="B47" s="138" t="s">
        <v>31</v>
      </c>
      <c r="C47" s="152">
        <v>253338000</v>
      </c>
    </row>
    <row r="48" spans="2:3" ht="15.75">
      <c r="B48" s="61" t="s">
        <v>83</v>
      </c>
      <c r="C48" s="152">
        <v>19040000</v>
      </c>
    </row>
    <row r="49" spans="2:3" ht="15.75">
      <c r="B49" s="137" t="s">
        <v>32</v>
      </c>
      <c r="C49" s="153">
        <f>SUM(C47:C48)</f>
        <v>272378000</v>
      </c>
    </row>
    <row r="50" spans="2:3" ht="15.75">
      <c r="B50" s="138"/>
      <c r="C50" s="157"/>
    </row>
    <row r="51" spans="2:3" ht="15.75">
      <c r="B51" s="137" t="s">
        <v>33</v>
      </c>
      <c r="C51" s="151"/>
    </row>
    <row r="52" spans="2:3" ht="15.75">
      <c r="B52" s="138" t="s">
        <v>34</v>
      </c>
      <c r="C52" s="152">
        <v>22880000</v>
      </c>
    </row>
    <row r="53" spans="2:3" ht="15.75">
      <c r="B53" s="138" t="s">
        <v>35</v>
      </c>
      <c r="C53" s="152">
        <v>53820000</v>
      </c>
    </row>
    <row r="54" spans="2:3" ht="15.75">
      <c r="B54" s="137" t="s">
        <v>36</v>
      </c>
      <c r="C54" s="153">
        <f>SUM(C52:C53)</f>
        <v>76700000</v>
      </c>
    </row>
    <row r="55" spans="2:3" ht="15.75">
      <c r="B55" s="137"/>
      <c r="C55" s="153"/>
    </row>
    <row r="56" spans="2:3" ht="15.75">
      <c r="B56" s="137" t="s">
        <v>84</v>
      </c>
      <c r="C56" s="153"/>
    </row>
    <row r="57" spans="2:3" ht="15.75">
      <c r="B57" s="61" t="s">
        <v>85</v>
      </c>
      <c r="C57" s="152">
        <v>8100000</v>
      </c>
    </row>
    <row r="58" spans="2:3" ht="15.75">
      <c r="B58" s="63" t="s">
        <v>86</v>
      </c>
      <c r="C58" s="158">
        <f>SUM(C57)</f>
        <v>8100000</v>
      </c>
    </row>
    <row r="59" spans="2:3" ht="15.75">
      <c r="B59" s="138"/>
      <c r="C59" s="157"/>
    </row>
    <row r="60" spans="2:3" ht="26.25" customHeight="1">
      <c r="B60" s="142" t="s">
        <v>37</v>
      </c>
      <c r="C60" s="153">
        <f>C40+C44+C49+C54+C58</f>
        <v>1132267000</v>
      </c>
    </row>
    <row r="61" spans="2:3" ht="15.75">
      <c r="B61" s="142"/>
      <c r="C61" s="153"/>
    </row>
    <row r="62" spans="2:3" ht="15.75">
      <c r="B62" s="137" t="s">
        <v>38</v>
      </c>
      <c r="C62" s="154"/>
    </row>
    <row r="63" spans="2:3" ht="15.75">
      <c r="B63" s="137" t="s">
        <v>39</v>
      </c>
      <c r="C63" s="154"/>
    </row>
    <row r="64" spans="2:3" ht="15.75">
      <c r="B64" s="138" t="s">
        <v>40</v>
      </c>
      <c r="C64" s="152">
        <v>1082040000</v>
      </c>
    </row>
    <row r="65" spans="2:3" ht="15.75">
      <c r="B65" s="138" t="s">
        <v>41</v>
      </c>
      <c r="C65" s="152">
        <v>192000000</v>
      </c>
    </row>
    <row r="66" spans="2:3" ht="15.75">
      <c r="B66" s="138" t="s">
        <v>42</v>
      </c>
      <c r="C66" s="152">
        <v>648120000</v>
      </c>
    </row>
    <row r="67" spans="2:3" ht="15.75">
      <c r="B67" s="138" t="s">
        <v>43</v>
      </c>
      <c r="C67" s="152">
        <v>40000000</v>
      </c>
    </row>
    <row r="68" spans="2:3" ht="15.75">
      <c r="B68" s="61" t="s">
        <v>87</v>
      </c>
      <c r="C68" s="152">
        <v>10800000</v>
      </c>
    </row>
    <row r="69" spans="2:3" ht="15.75">
      <c r="B69" s="137" t="s">
        <v>93</v>
      </c>
      <c r="C69" s="153">
        <f>SUM(C64:C68)</f>
        <v>1972960000</v>
      </c>
    </row>
    <row r="70" spans="2:3" ht="15.75">
      <c r="B70" s="137"/>
      <c r="C70" s="153"/>
    </row>
    <row r="71" spans="2:3" ht="15.75">
      <c r="B71" s="141" t="s">
        <v>44</v>
      </c>
      <c r="C71" s="159"/>
    </row>
    <row r="72" spans="2:3" ht="15.75">
      <c r="B72" s="137" t="s">
        <v>45</v>
      </c>
      <c r="C72" s="154"/>
    </row>
    <row r="73" spans="2:3" ht="15.75">
      <c r="B73" s="138" t="s">
        <v>46</v>
      </c>
      <c r="C73" s="152">
        <v>1275005000</v>
      </c>
    </row>
    <row r="74" spans="2:3" ht="15.75">
      <c r="B74" s="138" t="s">
        <v>47</v>
      </c>
      <c r="C74" s="152">
        <v>564000000</v>
      </c>
    </row>
    <row r="75" spans="2:3" ht="15.75">
      <c r="B75" s="137" t="s">
        <v>48</v>
      </c>
      <c r="C75" s="153">
        <f>SUM(C73:C74)</f>
        <v>1839005000</v>
      </c>
    </row>
    <row r="76" spans="2:3" ht="15.75">
      <c r="B76" s="137"/>
      <c r="C76" s="153"/>
    </row>
    <row r="77" spans="2:3" ht="15.75">
      <c r="B77" s="137" t="s">
        <v>49</v>
      </c>
      <c r="C77" s="157"/>
    </row>
    <row r="78" spans="2:3" ht="15.75">
      <c r="B78" s="138" t="s">
        <v>50</v>
      </c>
      <c r="C78" s="160">
        <f>2672132000+2006000</f>
        <v>2674138000</v>
      </c>
    </row>
    <row r="79" spans="2:3" ht="15.75">
      <c r="B79" s="142" t="s">
        <v>94</v>
      </c>
      <c r="C79" s="161">
        <f>C78</f>
        <v>2674138000</v>
      </c>
    </row>
    <row r="80" spans="2:3" ht="31.5">
      <c r="B80" s="142" t="s">
        <v>51</v>
      </c>
      <c r="C80" s="153">
        <f>C79+C75</f>
        <v>4513143000</v>
      </c>
    </row>
    <row r="81" spans="2:3" ht="15.75">
      <c r="B81" s="137" t="s">
        <v>52</v>
      </c>
      <c r="C81" s="153">
        <f>C69+C75+C79</f>
        <v>6486103000</v>
      </c>
    </row>
    <row r="82" spans="2:3" ht="15.75">
      <c r="B82" s="137"/>
      <c r="C82" s="153"/>
    </row>
    <row r="83" spans="2:3" ht="15.75">
      <c r="B83" s="137" t="s">
        <v>53</v>
      </c>
      <c r="C83" s="162">
        <f>C81+C60+C32</f>
        <v>15062995000</v>
      </c>
    </row>
    <row r="84" spans="2:3" ht="15.75">
      <c r="B84" s="137"/>
      <c r="C84" s="153"/>
    </row>
    <row r="85" spans="2:3" ht="15.75">
      <c r="B85" s="141" t="s">
        <v>54</v>
      </c>
      <c r="C85" s="163"/>
    </row>
    <row r="86" spans="2:3" ht="15.75">
      <c r="B86" s="137" t="s">
        <v>55</v>
      </c>
      <c r="C86" s="154"/>
    </row>
    <row r="87" spans="2:3" ht="15.75">
      <c r="B87" s="137" t="s">
        <v>56</v>
      </c>
      <c r="C87" s="151"/>
    </row>
    <row r="88" spans="2:3" ht="15.75">
      <c r="B88" s="138" t="s">
        <v>80</v>
      </c>
      <c r="C88" s="164">
        <v>194345000</v>
      </c>
    </row>
    <row r="89" spans="2:3" ht="15.75">
      <c r="B89" s="138" t="s">
        <v>57</v>
      </c>
      <c r="C89" s="157">
        <v>142720000</v>
      </c>
    </row>
    <row r="90" spans="2:3" ht="15.75">
      <c r="B90" s="138" t="s">
        <v>58</v>
      </c>
      <c r="C90" s="165">
        <v>945724000</v>
      </c>
    </row>
    <row r="91" spans="2:3" ht="15.75">
      <c r="B91" s="138" t="s">
        <v>59</v>
      </c>
      <c r="C91" s="165">
        <v>2488112000</v>
      </c>
    </row>
    <row r="92" spans="2:3" ht="15.75">
      <c r="B92" s="138" t="s">
        <v>60</v>
      </c>
      <c r="C92" s="165">
        <v>30043000</v>
      </c>
    </row>
    <row r="93" spans="2:3" ht="15.75">
      <c r="B93" s="138" t="s">
        <v>61</v>
      </c>
      <c r="C93" s="165">
        <v>25482000</v>
      </c>
    </row>
    <row r="94" spans="2:3" ht="15.75">
      <c r="B94" s="138" t="s">
        <v>62</v>
      </c>
      <c r="C94" s="165">
        <v>16049000</v>
      </c>
    </row>
    <row r="95" spans="2:3" ht="15.75">
      <c r="B95" s="143" t="s">
        <v>63</v>
      </c>
      <c r="C95" s="166">
        <f>SUM(C88:C94)</f>
        <v>3842475000</v>
      </c>
    </row>
    <row r="96" spans="2:3" ht="15.75">
      <c r="B96" s="137"/>
      <c r="C96" s="153"/>
    </row>
    <row r="97" spans="2:3" ht="15.75">
      <c r="B97" s="141" t="s">
        <v>64</v>
      </c>
      <c r="C97" s="156"/>
    </row>
    <row r="98" spans="2:3" ht="15.75">
      <c r="B98" s="138" t="s">
        <v>65</v>
      </c>
      <c r="C98" s="157">
        <v>40996726000</v>
      </c>
    </row>
    <row r="99" spans="2:3" ht="15.75">
      <c r="B99" s="137" t="s">
        <v>66</v>
      </c>
      <c r="C99" s="153">
        <f>SUM(C98)</f>
        <v>40996726000</v>
      </c>
    </row>
    <row r="100" spans="2:3" ht="15.75">
      <c r="B100" s="138"/>
      <c r="C100" s="157"/>
    </row>
    <row r="101" spans="2:3" ht="15.75">
      <c r="B101" s="137" t="s">
        <v>67</v>
      </c>
      <c r="C101" s="153">
        <f>C99+C95</f>
        <v>44839201000</v>
      </c>
    </row>
    <row r="102" spans="2:3" ht="15.75">
      <c r="B102" s="144"/>
      <c r="C102" s="167"/>
    </row>
    <row r="103" spans="2:3" ht="15.75">
      <c r="B103" s="137" t="s">
        <v>68</v>
      </c>
      <c r="C103" s="168"/>
    </row>
    <row r="104" spans="2:3" ht="15.75">
      <c r="B104" s="138" t="s">
        <v>70</v>
      </c>
      <c r="C104" s="157">
        <v>702759000</v>
      </c>
    </row>
    <row r="105" spans="2:3" ht="15.75">
      <c r="B105" s="138" t="s">
        <v>133</v>
      </c>
      <c r="C105" s="157">
        <v>42088000</v>
      </c>
    </row>
    <row r="106" spans="2:3" ht="15.75">
      <c r="B106" s="138" t="s">
        <v>78</v>
      </c>
      <c r="C106" s="157">
        <v>1308108000</v>
      </c>
    </row>
    <row r="107" spans="2:3" ht="15.75">
      <c r="B107" s="138" t="s">
        <v>72</v>
      </c>
      <c r="C107" s="157">
        <v>2542000000</v>
      </c>
    </row>
    <row r="108" spans="2:3" ht="15.75">
      <c r="B108" s="138" t="s">
        <v>143</v>
      </c>
      <c r="C108" s="157">
        <v>2233190000</v>
      </c>
    </row>
    <row r="109" spans="2:3" ht="15.75">
      <c r="B109" s="138" t="s">
        <v>142</v>
      </c>
      <c r="C109" s="157">
        <v>150000000</v>
      </c>
    </row>
    <row r="110" spans="2:3" ht="15.75">
      <c r="B110" s="138" t="s">
        <v>74</v>
      </c>
      <c r="C110" s="157">
        <v>130852000</v>
      </c>
    </row>
    <row r="111" spans="2:3" ht="15.75">
      <c r="B111" s="138" t="s">
        <v>144</v>
      </c>
      <c r="C111" s="157">
        <v>95200000</v>
      </c>
    </row>
    <row r="112" spans="2:3" ht="15.75">
      <c r="B112" s="138" t="s">
        <v>145</v>
      </c>
      <c r="C112" s="157">
        <v>311247000</v>
      </c>
    </row>
    <row r="113" spans="2:3" ht="15.75">
      <c r="B113" s="138" t="s">
        <v>95</v>
      </c>
      <c r="C113" s="157">
        <v>1249169000</v>
      </c>
    </row>
    <row r="114" spans="2:3" ht="15.75">
      <c r="B114" s="138" t="s">
        <v>147</v>
      </c>
      <c r="C114" s="157">
        <v>0</v>
      </c>
    </row>
    <row r="115" spans="2:3" ht="15.75">
      <c r="B115" s="138" t="s">
        <v>146</v>
      </c>
      <c r="C115" s="157">
        <v>0</v>
      </c>
    </row>
    <row r="116" spans="2:3" ht="15.75">
      <c r="B116" s="137" t="s">
        <v>75</v>
      </c>
      <c r="C116" s="153">
        <f>SUM(C104:C115)</f>
        <v>8764613000</v>
      </c>
    </row>
    <row r="117" spans="2:3" ht="15.75">
      <c r="B117" s="143" t="s">
        <v>76</v>
      </c>
      <c r="C117" s="166">
        <f>C116+C101</f>
        <v>53603814000</v>
      </c>
    </row>
    <row r="118" spans="2:3" ht="15.75">
      <c r="B118" s="145" t="s">
        <v>148</v>
      </c>
      <c r="C118" s="169"/>
    </row>
    <row r="119" spans="2:3" ht="15.75">
      <c r="B119" s="145" t="s">
        <v>98</v>
      </c>
      <c r="C119" s="169">
        <f>C116</f>
        <v>8764613000</v>
      </c>
    </row>
    <row r="120" spans="2:3" ht="16.5" thickBot="1">
      <c r="B120" s="170" t="s">
        <v>77</v>
      </c>
      <c r="C120" s="171">
        <f>C119+C99+C95+C83</f>
        <v>68666809000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91">
      <selection activeCell="B126" sqref="B126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4" width="15.57421875" style="21" customWidth="1"/>
    <col min="5" max="5" width="15.7109375" style="21" customWidth="1"/>
    <col min="6" max="6" width="10.140625" style="21" customWidth="1"/>
    <col min="7" max="7" width="17.140625" style="21" customWidth="1"/>
    <col min="8" max="8" width="16.421875" style="21" customWidth="1"/>
    <col min="9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27"/>
      <c r="E2" s="3"/>
      <c r="F2" s="8"/>
      <c r="G2" s="3"/>
    </row>
    <row r="3" spans="1:7" ht="18">
      <c r="A3" s="13"/>
      <c r="B3" s="132" t="s">
        <v>105</v>
      </c>
      <c r="C3" s="132"/>
      <c r="D3" s="28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88</v>
      </c>
      <c r="D6" s="9" t="s">
        <v>89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100</v>
      </c>
      <c r="D7" s="112" t="s">
        <v>105</v>
      </c>
      <c r="E7" s="75" t="s">
        <v>106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0</v>
      </c>
      <c r="D11" s="6">
        <v>0</v>
      </c>
      <c r="E11" s="6">
        <f>C11+D11</f>
        <v>0</v>
      </c>
      <c r="F11" s="16">
        <f>E11/B11*100%</f>
        <v>0</v>
      </c>
      <c r="G11" s="60">
        <f>E11-B11</f>
        <v>-58200000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f>SUM(C11:C12)</f>
        <v>0</v>
      </c>
      <c r="D13" s="5">
        <f>SUM(D11:D12)</f>
        <v>0</v>
      </c>
      <c r="E13" s="5">
        <f>C13+D13</f>
        <v>0</v>
      </c>
      <c r="F13" s="20">
        <f>E13/B13*100%</f>
        <v>0</v>
      </c>
      <c r="G13" s="62">
        <f>E13-B13</f>
        <v>-90600000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0</v>
      </c>
      <c r="D17" s="6">
        <v>0</v>
      </c>
      <c r="E17" s="6">
        <f>C17+D17</f>
        <v>0</v>
      </c>
      <c r="F17" s="16">
        <f aca="true" t="shared" si="0" ref="F17:F25">E17/B17*100%</f>
        <v>0</v>
      </c>
      <c r="G17" s="60">
        <f aca="true" t="shared" si="1" ref="G17:G25">E17-B17</f>
        <v>-30000000</v>
      </c>
    </row>
    <row r="18" spans="1:7" ht="15">
      <c r="A18" s="59" t="s">
        <v>12</v>
      </c>
      <c r="B18" s="23">
        <v>10000000</v>
      </c>
      <c r="C18" s="6">
        <v>90000</v>
      </c>
      <c r="D18" s="6">
        <v>0</v>
      </c>
      <c r="E18" s="6">
        <f aca="true" t="shared" si="2" ref="E18:E25">C18+D18</f>
        <v>90000</v>
      </c>
      <c r="F18" s="16">
        <f t="shared" si="0"/>
        <v>0.009</v>
      </c>
      <c r="G18" s="60">
        <f t="shared" si="1"/>
        <v>-9910000</v>
      </c>
    </row>
    <row r="19" spans="1:7" ht="15">
      <c r="A19" s="59" t="s">
        <v>13</v>
      </c>
      <c r="B19" s="23">
        <v>40156000</v>
      </c>
      <c r="C19" s="6">
        <v>710000</v>
      </c>
      <c r="D19" s="6">
        <v>219000</v>
      </c>
      <c r="E19" s="6">
        <f t="shared" si="2"/>
        <v>929000</v>
      </c>
      <c r="F19" s="16">
        <f t="shared" si="0"/>
        <v>0.02313477437991832</v>
      </c>
      <c r="G19" s="60">
        <f t="shared" si="1"/>
        <v>-39227000</v>
      </c>
    </row>
    <row r="20" spans="1:7" ht="15">
      <c r="A20" s="59" t="s">
        <v>91</v>
      </c>
      <c r="B20" s="23">
        <v>1461910000</v>
      </c>
      <c r="C20" s="6">
        <v>365228397.84</v>
      </c>
      <c r="D20" s="6">
        <f>106781621.04+420000+56000000</f>
        <v>163201621.04000002</v>
      </c>
      <c r="E20" s="6">
        <f t="shared" si="2"/>
        <v>528430018.88</v>
      </c>
      <c r="F20" s="16">
        <f t="shared" si="0"/>
        <v>0.3614654930057254</v>
      </c>
      <c r="G20" s="60">
        <f t="shared" si="1"/>
        <v>-933479981.12</v>
      </c>
    </row>
    <row r="21" spans="1:7" ht="15.75" customHeight="1">
      <c r="A21" s="59" t="s">
        <v>81</v>
      </c>
      <c r="B21" s="23">
        <v>14600000</v>
      </c>
      <c r="C21" s="6">
        <v>1215800</v>
      </c>
      <c r="D21" s="6">
        <v>979500</v>
      </c>
      <c r="E21" s="6">
        <f t="shared" si="2"/>
        <v>2195300</v>
      </c>
      <c r="F21" s="16">
        <f t="shared" si="0"/>
        <v>0.15036301369863014</v>
      </c>
      <c r="G21" s="60">
        <f t="shared" si="1"/>
        <v>-12404700</v>
      </c>
    </row>
    <row r="22" spans="1:7" ht="15">
      <c r="A22" s="59" t="s">
        <v>14</v>
      </c>
      <c r="B22" s="23">
        <v>2616666835</v>
      </c>
      <c r="C22" s="6">
        <v>220358964.87</v>
      </c>
      <c r="D22" s="6">
        <v>239283824.9</v>
      </c>
      <c r="E22" s="6">
        <f t="shared" si="2"/>
        <v>459642789.77</v>
      </c>
      <c r="F22" s="16">
        <f t="shared" si="0"/>
        <v>0.17565965357985666</v>
      </c>
      <c r="G22" s="60">
        <f t="shared" si="1"/>
        <v>-2157024045.23</v>
      </c>
    </row>
    <row r="23" spans="1:7" ht="15">
      <c r="A23" s="59" t="s">
        <v>15</v>
      </c>
      <c r="B23" s="23">
        <v>9600000</v>
      </c>
      <c r="C23" s="6">
        <v>2130000</v>
      </c>
      <c r="D23" s="6">
        <v>750000</v>
      </c>
      <c r="E23" s="6">
        <f t="shared" si="2"/>
        <v>2880000</v>
      </c>
      <c r="F23" s="16">
        <f t="shared" si="0"/>
        <v>0.3</v>
      </c>
      <c r="G23" s="60">
        <f t="shared" si="1"/>
        <v>-6720000</v>
      </c>
    </row>
    <row r="24" spans="1:7" ht="15">
      <c r="A24" s="59" t="s">
        <v>16</v>
      </c>
      <c r="B24" s="23">
        <v>1396060000</v>
      </c>
      <c r="C24" s="6">
        <f>96713750+109051000</f>
        <v>205764750</v>
      </c>
      <c r="D24" s="6">
        <v>44097550</v>
      </c>
      <c r="E24" s="6">
        <f t="shared" si="2"/>
        <v>249862300</v>
      </c>
      <c r="F24" s="16">
        <f t="shared" si="0"/>
        <v>0.17897676317636776</v>
      </c>
      <c r="G24" s="60">
        <f t="shared" si="1"/>
        <v>-1146197700</v>
      </c>
    </row>
    <row r="25" spans="1:7" ht="15">
      <c r="A25" s="58" t="s">
        <v>17</v>
      </c>
      <c r="B25" s="5">
        <f>SUM(B17:B24)</f>
        <v>5578992835</v>
      </c>
      <c r="C25" s="5">
        <f>SUM(C17:C24)</f>
        <v>795497912.71</v>
      </c>
      <c r="D25" s="5">
        <f>SUM(D17:D24)</f>
        <v>448531495.94000006</v>
      </c>
      <c r="E25" s="5">
        <f t="shared" si="2"/>
        <v>1244029408.65</v>
      </c>
      <c r="F25" s="20">
        <f t="shared" si="0"/>
        <v>0.22298458618651373</v>
      </c>
      <c r="G25" s="62">
        <f t="shared" si="1"/>
        <v>-4334963426.35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0</v>
      </c>
      <c r="D28" s="6">
        <v>0</v>
      </c>
      <c r="E28" s="6">
        <f>C28+D28</f>
        <v>0</v>
      </c>
      <c r="F28" s="16">
        <f>E28/B28*100%</f>
        <v>0</v>
      </c>
      <c r="G28" s="60">
        <f>E28-B28</f>
        <v>-3000000</v>
      </c>
    </row>
    <row r="29" spans="1:7" ht="15">
      <c r="A29" s="58" t="s">
        <v>19</v>
      </c>
      <c r="B29" s="5">
        <f>SUM(B28)</f>
        <v>3000000</v>
      </c>
      <c r="C29" s="5">
        <f>SUM(C28)</f>
        <v>0</v>
      </c>
      <c r="D29" s="5">
        <f>SUM(D28)</f>
        <v>0</v>
      </c>
      <c r="E29" s="5">
        <f>C29+D29</f>
        <v>0</v>
      </c>
      <c r="F29" s="20">
        <f>E29/B29*100%</f>
        <v>0</v>
      </c>
      <c r="G29" s="62">
        <f>E29-B29</f>
        <v>-3000000</v>
      </c>
    </row>
    <row r="30" spans="1:7" ht="15">
      <c r="A30" s="58" t="s">
        <v>20</v>
      </c>
      <c r="B30" s="5">
        <f>B13+B25+B29</f>
        <v>5672592835</v>
      </c>
      <c r="C30" s="5">
        <f>C29+C25+C13</f>
        <v>795497912.71</v>
      </c>
      <c r="D30" s="5">
        <f>D29+D25+D13</f>
        <v>448531495.94000006</v>
      </c>
      <c r="E30" s="5">
        <f>E29+E25+E13</f>
        <v>1244029408.65</v>
      </c>
      <c r="F30" s="20">
        <f>E30/B30*100%</f>
        <v>0.2193052533180799</v>
      </c>
      <c r="G30" s="62">
        <f>E30-B30</f>
        <v>-4428563426.35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39520000</v>
      </c>
      <c r="D35" s="6">
        <v>1537500</v>
      </c>
      <c r="E35" s="6">
        <f>C35+D35</f>
        <v>41057500</v>
      </c>
      <c r="F35" s="16">
        <f>E35/B35*100%</f>
        <v>0.16025565964090555</v>
      </c>
      <c r="G35" s="60">
        <f>E35-B35</f>
        <v>-215142500</v>
      </c>
    </row>
    <row r="36" spans="1:7" ht="15">
      <c r="A36" s="59" t="s">
        <v>24</v>
      </c>
      <c r="B36" s="23">
        <v>39600000</v>
      </c>
      <c r="C36" s="6">
        <v>0</v>
      </c>
      <c r="D36" s="6">
        <v>0</v>
      </c>
      <c r="E36" s="6">
        <f>C36+D36</f>
        <v>0</v>
      </c>
      <c r="F36" s="16">
        <f>E36/B36*100%</f>
        <v>0</v>
      </c>
      <c r="G36" s="60">
        <f>E36-B36</f>
        <v>-39600000</v>
      </c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0</v>
      </c>
      <c r="D38" s="6">
        <v>15763400</v>
      </c>
      <c r="E38" s="6">
        <f>C38+D38</f>
        <v>15763400</v>
      </c>
      <c r="F38" s="16">
        <f>E38/B38*100%</f>
        <v>0.07550352768743683</v>
      </c>
      <c r="G38" s="60">
        <f>E38-B38</f>
        <v>-193013600</v>
      </c>
    </row>
    <row r="39" spans="1:7" ht="15">
      <c r="A39" s="58" t="s">
        <v>26</v>
      </c>
      <c r="B39" s="5">
        <f>SUM(B35:B38)</f>
        <v>512577000</v>
      </c>
      <c r="C39" s="5">
        <f>SUM(C35:C38)</f>
        <v>39520000</v>
      </c>
      <c r="D39" s="5">
        <f>SUM(D35:D38)</f>
        <v>17300900</v>
      </c>
      <c r="E39" s="5">
        <f>SUM(E35:E38)</f>
        <v>56820900</v>
      </c>
      <c r="F39" s="20">
        <f>E39/B39*100%</f>
        <v>0.1108533937340146</v>
      </c>
      <c r="G39" s="62">
        <f>E39-B39</f>
        <v>-455756100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0</v>
      </c>
      <c r="D42" s="36">
        <v>123987000</v>
      </c>
      <c r="E42" s="6">
        <f>C42+D42</f>
        <v>123987000</v>
      </c>
      <c r="F42" s="16">
        <f>E42/B42*100%</f>
        <v>0.23824868853404046</v>
      </c>
      <c r="G42" s="60">
        <f>E42-B42</f>
        <v>-396423000</v>
      </c>
    </row>
    <row r="43" spans="1:7" ht="15">
      <c r="A43" s="58" t="s">
        <v>29</v>
      </c>
      <c r="B43" s="5">
        <f>SUM(B42)</f>
        <v>520410000</v>
      </c>
      <c r="C43" s="5">
        <f>SUM(C42)</f>
        <v>0</v>
      </c>
      <c r="D43" s="5">
        <f>SUM(D42)</f>
        <v>123987000</v>
      </c>
      <c r="E43" s="5">
        <f>SUM(E42)</f>
        <v>123987000</v>
      </c>
      <c r="F43" s="20">
        <f>E43/B43*100%</f>
        <v>0.23824868853404046</v>
      </c>
      <c r="G43" s="62">
        <f>E43-B43</f>
        <v>-396423000</v>
      </c>
    </row>
    <row r="44" spans="1:7" ht="15">
      <c r="A44" s="59"/>
      <c r="B44" s="6"/>
      <c r="C44" s="6"/>
      <c r="D44" s="6"/>
      <c r="E44" s="6"/>
      <c r="F44" s="16"/>
      <c r="G44" s="60"/>
    </row>
    <row r="45" spans="1:8" ht="15">
      <c r="A45" s="58" t="s">
        <v>30</v>
      </c>
      <c r="B45" s="12"/>
      <c r="C45" s="12"/>
      <c r="D45" s="12"/>
      <c r="E45" s="86"/>
      <c r="F45" s="16"/>
      <c r="G45" s="60"/>
      <c r="H45" s="108"/>
    </row>
    <row r="46" spans="1:7" ht="15">
      <c r="A46" s="59" t="s">
        <v>31</v>
      </c>
      <c r="B46" s="23">
        <v>147700000</v>
      </c>
      <c r="C46" s="6">
        <v>50000000</v>
      </c>
      <c r="D46" s="6">
        <v>0</v>
      </c>
      <c r="E46" s="6">
        <f>C46+D46</f>
        <v>50000000</v>
      </c>
      <c r="F46" s="20">
        <f>E46/B46*100%</f>
        <v>0.33852403520649965</v>
      </c>
      <c r="G46" s="62">
        <f>E46-B46</f>
        <v>-97700000</v>
      </c>
    </row>
    <row r="47" spans="1:7" ht="15.75">
      <c r="A47" s="61" t="s">
        <v>83</v>
      </c>
      <c r="B47" s="23">
        <v>12000000</v>
      </c>
      <c r="C47" s="6">
        <v>6200000</v>
      </c>
      <c r="D47" s="6">
        <v>1550000</v>
      </c>
      <c r="E47" s="6">
        <f>C47+D47</f>
        <v>7750000</v>
      </c>
      <c r="F47" s="20">
        <f>E47/B47*100%</f>
        <v>0.6458333333333334</v>
      </c>
      <c r="G47" s="62">
        <f>E47-B47</f>
        <v>-4250000</v>
      </c>
    </row>
    <row r="48" spans="1:7" ht="15">
      <c r="A48" s="58" t="s">
        <v>32</v>
      </c>
      <c r="B48" s="5">
        <f>SUM(B46:B47)</f>
        <v>159700000</v>
      </c>
      <c r="C48" s="5">
        <f>SUM(C46:C47)</f>
        <v>56200000</v>
      </c>
      <c r="D48" s="5">
        <f>SUM(D46:D47)</f>
        <v>1550000</v>
      </c>
      <c r="E48" s="5">
        <f>SUM(E46:E47)</f>
        <v>57750000</v>
      </c>
      <c r="F48" s="20">
        <f>E48/B48*100%</f>
        <v>0.36161552911709455</v>
      </c>
      <c r="G48" s="62">
        <f>E48-B48</f>
        <v>-101950000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500000</v>
      </c>
      <c r="D51" s="6">
        <v>450000</v>
      </c>
      <c r="E51" s="6">
        <f>C51+D51</f>
        <v>950000</v>
      </c>
      <c r="F51" s="16">
        <f>E51/B51*100%</f>
        <v>0.06333333333333334</v>
      </c>
      <c r="G51" s="60">
        <f>E51-B51</f>
        <v>-14050000</v>
      </c>
    </row>
    <row r="52" spans="1:7" ht="15">
      <c r="A52" s="59" t="s">
        <v>35</v>
      </c>
      <c r="B52" s="23">
        <v>40000000</v>
      </c>
      <c r="C52" s="6">
        <v>4570000</v>
      </c>
      <c r="D52" s="6">
        <v>4570000</v>
      </c>
      <c r="E52" s="6">
        <f>C52+D52</f>
        <v>9140000</v>
      </c>
      <c r="F52" s="16">
        <f>E52/B52*100%</f>
        <v>0.2285</v>
      </c>
      <c r="G52" s="60">
        <f>E52-B52</f>
        <v>-30860000</v>
      </c>
    </row>
    <row r="53" spans="1:7" ht="15">
      <c r="A53" s="58" t="s">
        <v>36</v>
      </c>
      <c r="B53" s="5">
        <f>SUM(B51:B52)</f>
        <v>55000000</v>
      </c>
      <c r="C53" s="5">
        <v>0</v>
      </c>
      <c r="D53" s="5">
        <f>SUM(D51:D52)</f>
        <v>5020000</v>
      </c>
      <c r="E53" s="5">
        <f>SUM(E51:E52)</f>
        <v>10090000</v>
      </c>
      <c r="F53" s="20">
        <f>E53/B53*100%</f>
        <v>0.18345454545454545</v>
      </c>
      <c r="G53" s="62">
        <f>E53-B53</f>
        <v>-44910000</v>
      </c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7" ht="15">
      <c r="A55" s="58" t="s">
        <v>84</v>
      </c>
      <c r="B55" s="5"/>
      <c r="C55" s="5"/>
      <c r="D55" s="5"/>
      <c r="E55" s="5"/>
      <c r="F55" s="16"/>
      <c r="G55" s="60"/>
    </row>
    <row r="56" spans="1:7" ht="15.75">
      <c r="A56" s="61" t="s">
        <v>85</v>
      </c>
      <c r="B56" s="23">
        <v>8100000</v>
      </c>
      <c r="C56" s="6">
        <v>2010500</v>
      </c>
      <c r="D56" s="6">
        <v>3344500</v>
      </c>
      <c r="E56" s="6">
        <f>C56+D56</f>
        <v>5355000</v>
      </c>
      <c r="F56" s="16">
        <f>E56/B56*100%</f>
        <v>0.6611111111111111</v>
      </c>
      <c r="G56" s="60">
        <f>E56-B56</f>
        <v>-2745000</v>
      </c>
    </row>
    <row r="57" spans="1:7" ht="15.75">
      <c r="A57" s="63" t="s">
        <v>86</v>
      </c>
      <c r="B57" s="24">
        <f>SUM(B56)</f>
        <v>8100000</v>
      </c>
      <c r="C57" s="37">
        <f>SUM(C56)</f>
        <v>2010500</v>
      </c>
      <c r="D57" s="37">
        <f>SUM(D56)</f>
        <v>3344500</v>
      </c>
      <c r="E57" s="37">
        <f>SUM(E56)</f>
        <v>5355000</v>
      </c>
      <c r="F57" s="20">
        <f>E57/B57*100%</f>
        <v>0.6611111111111111</v>
      </c>
      <c r="G57" s="60">
        <f>E57-B57</f>
        <v>-2745000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7" ht="26.25">
      <c r="A59" s="64" t="s">
        <v>37</v>
      </c>
      <c r="B59" s="5">
        <f>B39+B43+B48+B53+B57</f>
        <v>1255787000</v>
      </c>
      <c r="C59" s="5">
        <f>C53+C48+C43+C39+C57</f>
        <v>97730500</v>
      </c>
      <c r="D59" s="5">
        <f>D53+D48+D43+D39+D57</f>
        <v>151202400</v>
      </c>
      <c r="E59" s="5">
        <f>E53+E48+E43+E39+E57</f>
        <v>254002900</v>
      </c>
      <c r="F59" s="20">
        <f>E59/B59*100%</f>
        <v>0.20226590974424802</v>
      </c>
      <c r="G59" s="62">
        <f>E59-B59</f>
        <v>-1001784100</v>
      </c>
    </row>
    <row r="60" spans="1:7" ht="15">
      <c r="A60" s="64"/>
      <c r="B60" s="5"/>
      <c r="C60" s="5"/>
      <c r="D60" s="5"/>
      <c r="E60" s="5"/>
      <c r="F60" s="20"/>
      <c r="G60" s="62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7104000</v>
      </c>
      <c r="D64" s="6">
        <v>5103400</v>
      </c>
      <c r="E64" s="6">
        <f>C64+D64</f>
        <v>12207400</v>
      </c>
      <c r="F64" s="16">
        <f>E64/B64*100%</f>
        <v>0.01877945972555535</v>
      </c>
      <c r="G64" s="60">
        <f aca="true" t="shared" si="3" ref="G64:G69">E64-B64</f>
        <v>-637832600</v>
      </c>
    </row>
    <row r="65" spans="1:7" ht="15">
      <c r="A65" s="59" t="s">
        <v>41</v>
      </c>
      <c r="B65" s="23">
        <v>192000000</v>
      </c>
      <c r="C65" s="6">
        <v>65200000</v>
      </c>
      <c r="D65" s="6">
        <v>0</v>
      </c>
      <c r="E65" s="6">
        <f>C65+D65</f>
        <v>65200000</v>
      </c>
      <c r="F65" s="16">
        <f>E65/B65*100%</f>
        <v>0.33958333333333335</v>
      </c>
      <c r="G65" s="60">
        <f t="shared" si="3"/>
        <v>-126800000</v>
      </c>
    </row>
    <row r="66" spans="1:7" ht="15">
      <c r="A66" s="59" t="s">
        <v>42</v>
      </c>
      <c r="B66" s="23">
        <v>589200000</v>
      </c>
      <c r="C66" s="6">
        <v>178828000</v>
      </c>
      <c r="D66" s="6">
        <v>0</v>
      </c>
      <c r="E66" s="6">
        <f>C66+D66</f>
        <v>178828000</v>
      </c>
      <c r="F66" s="16">
        <f>E66/B66*100%</f>
        <v>0.30350984385607604</v>
      </c>
      <c r="G66" s="60">
        <f t="shared" si="3"/>
        <v>-410372000</v>
      </c>
    </row>
    <row r="67" spans="1:7" ht="15">
      <c r="A67" s="59" t="s">
        <v>43</v>
      </c>
      <c r="B67" s="23">
        <v>20400000</v>
      </c>
      <c r="C67" s="6">
        <v>2866500</v>
      </c>
      <c r="D67" s="6">
        <v>1970000</v>
      </c>
      <c r="E67" s="6">
        <f>C67+D67</f>
        <v>4836500</v>
      </c>
      <c r="F67" s="16">
        <f>E67/B67*100%</f>
        <v>0.23708333333333334</v>
      </c>
      <c r="G67" s="60">
        <f t="shared" si="3"/>
        <v>-15563500</v>
      </c>
    </row>
    <row r="68" spans="1:7" ht="15.75">
      <c r="A68" s="61" t="s">
        <v>87</v>
      </c>
      <c r="B68" s="23">
        <v>10800000</v>
      </c>
      <c r="C68" s="6">
        <v>1250000</v>
      </c>
      <c r="D68" s="6">
        <v>1250000</v>
      </c>
      <c r="E68" s="6">
        <f>C68+D68</f>
        <v>2500000</v>
      </c>
      <c r="F68" s="16">
        <v>0</v>
      </c>
      <c r="G68" s="60">
        <f t="shared" si="3"/>
        <v>-8300000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255248500</v>
      </c>
      <c r="D69" s="5">
        <f>SUM(D64:D68)</f>
        <v>8323400</v>
      </c>
      <c r="E69" s="5">
        <f>SUM(E64:E68)</f>
        <v>263571900</v>
      </c>
      <c r="F69" s="20">
        <f>E69/B69*100%</f>
        <v>0.18022749651267744</v>
      </c>
      <c r="G69" s="62">
        <f t="shared" si="3"/>
        <v>-1198868100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0</v>
      </c>
      <c r="D74" s="6">
        <v>200000000</v>
      </c>
      <c r="E74" s="6">
        <f>C74+D74</f>
        <v>200000000</v>
      </c>
      <c r="F74" s="16">
        <f>E74/B74*100%</f>
        <v>0.43269891415181067</v>
      </c>
      <c r="G74" s="60">
        <f>E74-B74</f>
        <v>-262215165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0</v>
      </c>
      <c r="D76" s="5">
        <f>SUM(D74:D75)</f>
        <v>200000000</v>
      </c>
      <c r="E76" s="5">
        <f>SUM(E74:E75)</f>
        <v>200000000</v>
      </c>
      <c r="F76" s="20">
        <f>E76/B76*100%</f>
        <v>0.23634650886928976</v>
      </c>
      <c r="G76" s="62">
        <f>E76-B76</f>
        <v>-646215165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7" ht="15">
      <c r="A79" s="59" t="s">
        <v>50</v>
      </c>
      <c r="B79" s="7">
        <v>2172844000</v>
      </c>
      <c r="C79" s="30">
        <v>19161523</v>
      </c>
      <c r="D79" s="30">
        <v>27090500</v>
      </c>
      <c r="E79" s="31">
        <f>C79+D79</f>
        <v>46252023</v>
      </c>
      <c r="F79" s="16">
        <f>E79/B79*100%</f>
        <v>0.021286398379266987</v>
      </c>
      <c r="G79" s="60">
        <f>E79-B79</f>
        <v>-2126591977</v>
      </c>
    </row>
    <row r="80" spans="1:7" ht="15">
      <c r="A80" s="64" t="s">
        <v>94</v>
      </c>
      <c r="B80" s="25">
        <f>B79</f>
        <v>2172844000</v>
      </c>
      <c r="C80" s="25">
        <f>C79</f>
        <v>19161523</v>
      </c>
      <c r="D80" s="25">
        <f>D79</f>
        <v>27090500</v>
      </c>
      <c r="E80" s="25">
        <f>E79</f>
        <v>46252023</v>
      </c>
      <c r="F80" s="20">
        <f>E80/B80*100%</f>
        <v>0.021286398379266987</v>
      </c>
      <c r="G80" s="62">
        <f>E80-B80</f>
        <v>-2126591977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19161523</v>
      </c>
      <c r="D82" s="32">
        <f>D80+D76</f>
        <v>227090500</v>
      </c>
      <c r="E82" s="32">
        <f>E80+E76</f>
        <v>246252023</v>
      </c>
      <c r="F82" s="20">
        <f>E82/B82*100%</f>
        <v>0.08156581555433015</v>
      </c>
      <c r="G82" s="62">
        <f>E82-B82</f>
        <v>-2772807142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274410023</v>
      </c>
      <c r="D84" s="32">
        <f>D82+D69</f>
        <v>235413900</v>
      </c>
      <c r="E84" s="32">
        <f>E82+E69</f>
        <v>509823923</v>
      </c>
      <c r="F84" s="20">
        <f>E84/B84*100%</f>
        <v>0.11376191408930007</v>
      </c>
      <c r="G84" s="62">
        <f>E84-B84</f>
        <v>-3971675242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1167638435.71</v>
      </c>
      <c r="D86" s="32">
        <f>D84+D59+D30</f>
        <v>835147795.94</v>
      </c>
      <c r="E86" s="32">
        <f>E84+E59+E30</f>
        <v>2007856231.65</v>
      </c>
      <c r="F86" s="20">
        <f>E86/B86*100%</f>
        <v>0.17597524317742547</v>
      </c>
      <c r="G86" s="62">
        <f>E86-B86</f>
        <v>-9402022768.35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07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f>44432000+99773000</f>
        <v>144205000</v>
      </c>
      <c r="D91" s="40">
        <f>13200000+184800000</f>
        <v>198000000</v>
      </c>
      <c r="E91" s="40">
        <f>C91+D91</f>
        <v>342205000</v>
      </c>
      <c r="F91" s="16">
        <f>E91/B91*100%</f>
        <v>0.48021290718217935</v>
      </c>
      <c r="G91" s="60">
        <f>E91-B91</f>
        <v>-370406000</v>
      </c>
    </row>
    <row r="92" spans="1:7" ht="15">
      <c r="A92" s="59" t="s">
        <v>57</v>
      </c>
      <c r="B92" s="6">
        <v>333315000</v>
      </c>
      <c r="C92" s="40">
        <f>11126000+26223000+6400000</f>
        <v>43749000</v>
      </c>
      <c r="D92" s="40">
        <v>0</v>
      </c>
      <c r="E92" s="40">
        <f aca="true" t="shared" si="4" ref="E92:E97">C92+D92</f>
        <v>43749000</v>
      </c>
      <c r="F92" s="16">
        <f aca="true" t="shared" si="5" ref="F92:F98">E92/B92*100%</f>
        <v>0.131254218982044</v>
      </c>
      <c r="G92" s="60">
        <f aca="true" t="shared" si="6" ref="G92:G98">E92-B92</f>
        <v>-289566000</v>
      </c>
    </row>
    <row r="93" spans="1:7" ht="15">
      <c r="A93" s="59" t="s">
        <v>58</v>
      </c>
      <c r="B93" s="17">
        <v>1099360000</v>
      </c>
      <c r="C93" s="40">
        <f>7220000+22654000+19794000+14793000+10727000</f>
        <v>75188000</v>
      </c>
      <c r="D93" s="40">
        <v>0</v>
      </c>
      <c r="E93" s="40">
        <f t="shared" si="4"/>
        <v>75188000</v>
      </c>
      <c r="F93" s="16">
        <f t="shared" si="5"/>
        <v>0.06839251928394702</v>
      </c>
      <c r="G93" s="60">
        <f t="shared" si="6"/>
        <v>-1024172000</v>
      </c>
    </row>
    <row r="94" spans="1:7" ht="15">
      <c r="A94" s="59" t="s">
        <v>59</v>
      </c>
      <c r="B94" s="17">
        <v>1647264000</v>
      </c>
      <c r="C94" s="40">
        <f>78415000+9231000+9231000+26297000+33039000+78415000</f>
        <v>234628000</v>
      </c>
      <c r="D94" s="40">
        <v>0</v>
      </c>
      <c r="E94" s="40">
        <f t="shared" si="4"/>
        <v>234628000</v>
      </c>
      <c r="F94" s="16">
        <f t="shared" si="5"/>
        <v>0.14243497095790353</v>
      </c>
      <c r="G94" s="60">
        <f t="shared" si="6"/>
        <v>-1412636000</v>
      </c>
    </row>
    <row r="95" spans="1:7" ht="15">
      <c r="A95" s="59" t="s">
        <v>60</v>
      </c>
      <c r="B95" s="17">
        <f>24982000+5421000</f>
        <v>30403000</v>
      </c>
      <c r="C95" s="40">
        <v>904000</v>
      </c>
      <c r="D95" s="40">
        <v>0</v>
      </c>
      <c r="E95" s="40">
        <f t="shared" si="4"/>
        <v>904000</v>
      </c>
      <c r="F95" s="16">
        <f t="shared" si="5"/>
        <v>0.0297339078380423</v>
      </c>
      <c r="G95" s="60">
        <f t="shared" si="6"/>
        <v>-29499000</v>
      </c>
    </row>
    <row r="96" spans="1:7" ht="15">
      <c r="A96" s="59" t="s">
        <v>61</v>
      </c>
      <c r="B96" s="17">
        <v>27938000</v>
      </c>
      <c r="C96" s="40">
        <v>1164000</v>
      </c>
      <c r="D96" s="40">
        <v>0</v>
      </c>
      <c r="E96" s="40">
        <f t="shared" si="4"/>
        <v>1164000</v>
      </c>
      <c r="F96" s="16">
        <f t="shared" si="5"/>
        <v>0.041663683871429595</v>
      </c>
      <c r="G96" s="60">
        <f t="shared" si="6"/>
        <v>-26774000</v>
      </c>
    </row>
    <row r="97" spans="1:7" ht="15">
      <c r="A97" s="59" t="s">
        <v>62</v>
      </c>
      <c r="B97" s="17">
        <v>17132000</v>
      </c>
      <c r="C97" s="40">
        <v>714000</v>
      </c>
      <c r="D97" s="40">
        <v>0</v>
      </c>
      <c r="E97" s="40">
        <f t="shared" si="4"/>
        <v>714000</v>
      </c>
      <c r="F97" s="16">
        <f t="shared" si="5"/>
        <v>0.04167639505019846</v>
      </c>
      <c r="G97" s="60">
        <f t="shared" si="6"/>
        <v>-16418000</v>
      </c>
    </row>
    <row r="98" spans="1:7" ht="15">
      <c r="A98" s="65" t="s">
        <v>63</v>
      </c>
      <c r="B98" s="41">
        <f>SUM(B91:B97)</f>
        <v>3868023000</v>
      </c>
      <c r="C98" s="42">
        <f>SUM(C91:C97)</f>
        <v>500552000</v>
      </c>
      <c r="D98" s="42">
        <f>SUM(D91:D97)</f>
        <v>198000000</v>
      </c>
      <c r="E98" s="42">
        <f>SUM(E91:E97)</f>
        <v>698552000</v>
      </c>
      <c r="F98" s="43">
        <f t="shared" si="5"/>
        <v>0.18059665105403974</v>
      </c>
      <c r="G98" s="66">
        <f t="shared" si="6"/>
        <v>-3169471000</v>
      </c>
    </row>
    <row r="99" spans="1:7" ht="15">
      <c r="A99" s="58"/>
      <c r="B99" s="5"/>
      <c r="C99" s="32"/>
      <c r="D99" s="32"/>
      <c r="E99" s="32"/>
      <c r="F99" s="20"/>
      <c r="G99" s="62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85">
        <v>3189788666.89</v>
      </c>
      <c r="D101" s="85">
        <v>3187788678.5</v>
      </c>
      <c r="E101" s="31">
        <f>C101+D101</f>
        <v>6377577345.389999</v>
      </c>
      <c r="F101" s="16">
        <f>E101/B101*100%</f>
        <v>0.1650107578565643</v>
      </c>
      <c r="G101" s="60">
        <f>E101-B101</f>
        <v>-32271886654.61</v>
      </c>
    </row>
    <row r="102" spans="1:7" ht="15">
      <c r="A102" s="58" t="s">
        <v>66</v>
      </c>
      <c r="B102" s="5">
        <f>SUM(B101)</f>
        <v>38649464000</v>
      </c>
      <c r="C102" s="32">
        <f>SUM(C101)</f>
        <v>3189788666.89</v>
      </c>
      <c r="D102" s="32">
        <f>SUM(D101)</f>
        <v>3187788678.5</v>
      </c>
      <c r="E102" s="32">
        <f>SUM(E101)</f>
        <v>6377577345.389999</v>
      </c>
      <c r="F102" s="20">
        <f>E102/B102*100%</f>
        <v>0.1650107578565643</v>
      </c>
      <c r="G102" s="62">
        <f>E102-B102</f>
        <v>-32271886654.61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3690340666.89</v>
      </c>
      <c r="D104" s="32">
        <f>D102+D98</f>
        <v>3385788678.5</v>
      </c>
      <c r="E104" s="32">
        <f>E102+E98</f>
        <v>7076129345.389999</v>
      </c>
      <c r="F104" s="20">
        <f>E104/B104*100%</f>
        <v>0.16642868251808954</v>
      </c>
      <c r="G104" s="62">
        <f>E104-B104</f>
        <v>-35441357654.61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7" ref="F108:F117">E108/B108*100%</f>
        <v>0</v>
      </c>
      <c r="G108" s="60">
        <f aca="true" t="shared" si="8" ref="G108:G117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0</v>
      </c>
      <c r="E109" s="31">
        <f aca="true" t="shared" si="9" ref="E109:E115">C109+D109</f>
        <v>0</v>
      </c>
      <c r="F109" s="16">
        <f t="shared" si="7"/>
        <v>0</v>
      </c>
      <c r="G109" s="60">
        <f t="shared" si="8"/>
        <v>-434189000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9"/>
        <v>0</v>
      </c>
      <c r="F110" s="16">
        <f t="shared" si="7"/>
        <v>0</v>
      </c>
      <c r="G110" s="60">
        <f t="shared" si="8"/>
        <v>-18838000</v>
      </c>
    </row>
    <row r="111" spans="1:8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9"/>
        <v>0</v>
      </c>
      <c r="F111" s="16">
        <f t="shared" si="7"/>
        <v>0</v>
      </c>
      <c r="G111" s="60">
        <f t="shared" si="8"/>
        <v>-1646097000</v>
      </c>
      <c r="H111" s="108"/>
    </row>
    <row r="112" spans="1:8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9"/>
        <v>0</v>
      </c>
      <c r="F112" s="16">
        <f t="shared" si="7"/>
        <v>0</v>
      </c>
      <c r="G112" s="60">
        <f t="shared" si="8"/>
        <v>-1151698000</v>
      </c>
      <c r="H112" s="88"/>
    </row>
    <row r="113" spans="1:8" ht="15">
      <c r="A113" s="59" t="s">
        <v>73</v>
      </c>
      <c r="B113" s="6">
        <v>85819000</v>
      </c>
      <c r="C113" s="31">
        <v>0</v>
      </c>
      <c r="D113" s="31">
        <v>0</v>
      </c>
      <c r="E113" s="31">
        <f t="shared" si="9"/>
        <v>0</v>
      </c>
      <c r="F113" s="16">
        <f t="shared" si="7"/>
        <v>0</v>
      </c>
      <c r="G113" s="60">
        <f t="shared" si="8"/>
        <v>-85819000</v>
      </c>
      <c r="H113" s="87"/>
    </row>
    <row r="114" spans="1:8" ht="15">
      <c r="A114" s="59" t="s">
        <v>104</v>
      </c>
      <c r="B114" s="6">
        <v>0</v>
      </c>
      <c r="C114" s="31">
        <v>426492000</v>
      </c>
      <c r="D114" s="31">
        <v>0</v>
      </c>
      <c r="E114" s="31">
        <f t="shared" si="9"/>
        <v>426492000</v>
      </c>
      <c r="F114" s="16">
        <v>1</v>
      </c>
      <c r="G114" s="60">
        <f t="shared" si="8"/>
        <v>426492000</v>
      </c>
      <c r="H114" s="87"/>
    </row>
    <row r="115" spans="1:8" ht="15">
      <c r="A115" s="59" t="s">
        <v>74</v>
      </c>
      <c r="B115" s="6">
        <v>32713000</v>
      </c>
      <c r="C115" s="31">
        <v>0</v>
      </c>
      <c r="D115" s="31">
        <v>0</v>
      </c>
      <c r="E115" s="31">
        <f t="shared" si="9"/>
        <v>0</v>
      </c>
      <c r="F115" s="16">
        <f t="shared" si="7"/>
        <v>0</v>
      </c>
      <c r="G115" s="60">
        <f t="shared" si="8"/>
        <v>-32713000</v>
      </c>
      <c r="H115" s="87"/>
    </row>
    <row r="116" spans="1:7" ht="20.25" customHeight="1">
      <c r="A116" s="58" t="s">
        <v>75</v>
      </c>
      <c r="B116" s="5">
        <f>SUM(B108:B115)</f>
        <v>3379769000</v>
      </c>
      <c r="C116" s="32">
        <f>SUM(C108:C115)</f>
        <v>426492000</v>
      </c>
      <c r="D116" s="32">
        <f>SUM(D108:D115)</f>
        <v>0</v>
      </c>
      <c r="E116" s="32">
        <f>SUM(E108:E115)</f>
        <v>426492000</v>
      </c>
      <c r="F116" s="20">
        <f t="shared" si="7"/>
        <v>0.1261896892953335</v>
      </c>
      <c r="G116" s="60">
        <f t="shared" si="8"/>
        <v>-2953277000</v>
      </c>
    </row>
    <row r="117" spans="1:7" ht="21" customHeight="1">
      <c r="A117" s="65" t="s">
        <v>76</v>
      </c>
      <c r="B117" s="41">
        <f>B116+B104</f>
        <v>45897256000</v>
      </c>
      <c r="C117" s="42">
        <f>C116+C104</f>
        <v>4116832666.89</v>
      </c>
      <c r="D117" s="42">
        <f>D116+D104</f>
        <v>3385788678.5</v>
      </c>
      <c r="E117" s="42">
        <f>E116+E104</f>
        <v>7502621345.389999</v>
      </c>
      <c r="F117" s="43">
        <f t="shared" si="7"/>
        <v>0.16346557505289638</v>
      </c>
      <c r="G117" s="66">
        <f t="shared" si="8"/>
        <v>-38394634654.61</v>
      </c>
    </row>
    <row r="118" spans="1:7" ht="21" customHeight="1">
      <c r="A118" s="1"/>
      <c r="B118" s="5"/>
      <c r="C118" s="32"/>
      <c r="D118" s="32"/>
      <c r="E118" s="32"/>
      <c r="F118" s="20"/>
      <c r="G118" s="5"/>
    </row>
    <row r="119" spans="1:7" ht="20.25" customHeight="1">
      <c r="A119" s="93" t="s">
        <v>96</v>
      </c>
      <c r="B119" s="94"/>
      <c r="C119" s="92"/>
      <c r="D119" s="92"/>
      <c r="E119" s="92"/>
      <c r="F119" s="95"/>
      <c r="G119" s="96"/>
    </row>
    <row r="120" spans="1:7" ht="20.25" customHeight="1">
      <c r="A120" s="59" t="s">
        <v>95</v>
      </c>
      <c r="B120" s="6">
        <v>0</v>
      </c>
      <c r="C120" s="31">
        <v>0</v>
      </c>
      <c r="D120" s="31">
        <v>0</v>
      </c>
      <c r="E120" s="31">
        <f>C120+D120</f>
        <v>0</v>
      </c>
      <c r="F120" s="16">
        <v>1</v>
      </c>
      <c r="G120" s="60">
        <f>E120-B120</f>
        <v>0</v>
      </c>
    </row>
    <row r="121" spans="1:7" ht="17.25" customHeight="1">
      <c r="A121" s="59" t="s">
        <v>92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21" customHeight="1" thickBot="1">
      <c r="A122" s="90" t="s">
        <v>97</v>
      </c>
      <c r="B122" s="91">
        <f>SUM(B120:B121)</f>
        <v>0</v>
      </c>
      <c r="C122" s="91">
        <v>0</v>
      </c>
      <c r="D122" s="91">
        <f>SUM(D120:D121)</f>
        <v>0</v>
      </c>
      <c r="E122" s="32">
        <f>C122+D122</f>
        <v>0</v>
      </c>
      <c r="F122" s="20">
        <v>1</v>
      </c>
      <c r="G122" s="62">
        <f>E122-B122</f>
        <v>0</v>
      </c>
    </row>
    <row r="123" spans="1:7" ht="21" customHeight="1" thickBot="1">
      <c r="A123" s="90" t="s">
        <v>98</v>
      </c>
      <c r="B123" s="91">
        <f>B116+B122</f>
        <v>3379769000</v>
      </c>
      <c r="C123" s="91">
        <f>C116+C122</f>
        <v>426492000</v>
      </c>
      <c r="D123" s="91">
        <f>D116+D122</f>
        <v>0</v>
      </c>
      <c r="E123" s="91">
        <f>E116+E122</f>
        <v>426492000</v>
      </c>
      <c r="F123" s="20">
        <f>E123/B123*100%</f>
        <v>0.1261896892953335</v>
      </c>
      <c r="G123" s="62">
        <f>E123-B123</f>
        <v>-2953277000</v>
      </c>
    </row>
    <row r="124" spans="1:7" ht="28.5" customHeight="1" thickBot="1">
      <c r="A124" s="49" t="s">
        <v>77</v>
      </c>
      <c r="B124" s="50">
        <f>B117+B86+B122</f>
        <v>57307135000</v>
      </c>
      <c r="C124" s="50">
        <f>C117+C86+C122</f>
        <v>5284471102.6</v>
      </c>
      <c r="D124" s="50">
        <f>D117+D86+D122</f>
        <v>4220936474.44</v>
      </c>
      <c r="E124" s="50">
        <f>E117+E86+E122</f>
        <v>9510477577.039999</v>
      </c>
      <c r="F124" s="51">
        <f>E124/B124*100%</f>
        <v>0.16595625618066578</v>
      </c>
      <c r="G124" s="52">
        <f>E124-B124</f>
        <v>-47796657422.96</v>
      </c>
    </row>
    <row r="125" spans="3:5" ht="15">
      <c r="C125" s="108"/>
      <c r="E125" s="113"/>
    </row>
    <row r="126" ht="15">
      <c r="B126" s="113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51">
      <selection activeCell="E86" sqref="E86"/>
    </sheetView>
  </sheetViews>
  <sheetFormatPr defaultColWidth="9.140625" defaultRowHeight="15"/>
  <cols>
    <col min="1" max="1" width="53.421875" style="21" customWidth="1"/>
    <col min="2" max="2" width="16.421875" style="21" customWidth="1"/>
    <col min="3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>
      <c r="A3" s="13"/>
      <c r="B3" s="132" t="s">
        <v>107</v>
      </c>
      <c r="C3" s="132"/>
      <c r="D3" s="28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88</v>
      </c>
      <c r="D6" s="9" t="s">
        <v>89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105</v>
      </c>
      <c r="D7" s="112" t="s">
        <v>108</v>
      </c>
      <c r="E7" s="75" t="s">
        <v>109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0</v>
      </c>
      <c r="D11" s="6">
        <v>1200000</v>
      </c>
      <c r="E11" s="6">
        <f>C11+D11</f>
        <v>1200000</v>
      </c>
      <c r="F11" s="16">
        <f>E11/B11*100%</f>
        <v>0.020618556701030927</v>
      </c>
      <c r="G11" s="60">
        <f>E11-B11</f>
        <v>-57000000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v>0</v>
      </c>
      <c r="D13" s="5">
        <f>SUM(D11:D12)</f>
        <v>1200000</v>
      </c>
      <c r="E13" s="5">
        <f>C13+D13</f>
        <v>1200000</v>
      </c>
      <c r="F13" s="20">
        <f>E13/B13*100%</f>
        <v>0.013245033112582781</v>
      </c>
      <c r="G13" s="62">
        <f>E13-B13</f>
        <v>-89400000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0</v>
      </c>
      <c r="D17" s="6">
        <v>200000</v>
      </c>
      <c r="E17" s="6">
        <f>C17+D17</f>
        <v>200000</v>
      </c>
      <c r="F17" s="16">
        <f aca="true" t="shared" si="0" ref="F17:F25">E17/B17*100%</f>
        <v>0.006666666666666667</v>
      </c>
      <c r="G17" s="60">
        <f aca="true" t="shared" si="1" ref="G17:G25">E17-B17</f>
        <v>-29800000</v>
      </c>
    </row>
    <row r="18" spans="1:7" ht="15">
      <c r="A18" s="59" t="s">
        <v>12</v>
      </c>
      <c r="B18" s="23">
        <v>10000000</v>
      </c>
      <c r="C18" s="6">
        <v>90000</v>
      </c>
      <c r="D18" s="6">
        <v>1150000</v>
      </c>
      <c r="E18" s="6">
        <f aca="true" t="shared" si="2" ref="E18:E25">C18+D18</f>
        <v>1240000</v>
      </c>
      <c r="F18" s="16">
        <f t="shared" si="0"/>
        <v>0.124</v>
      </c>
      <c r="G18" s="60">
        <f t="shared" si="1"/>
        <v>-8760000</v>
      </c>
    </row>
    <row r="19" spans="1:7" ht="15">
      <c r="A19" s="59" t="s">
        <v>13</v>
      </c>
      <c r="B19" s="23">
        <v>40156000</v>
      </c>
      <c r="C19" s="6">
        <v>929000</v>
      </c>
      <c r="D19" s="6">
        <v>9508000</v>
      </c>
      <c r="E19" s="6">
        <f t="shared" si="2"/>
        <v>10437000</v>
      </c>
      <c r="F19" s="16">
        <f t="shared" si="0"/>
        <v>0.2599113457515689</v>
      </c>
      <c r="G19" s="60">
        <f t="shared" si="1"/>
        <v>-29719000</v>
      </c>
    </row>
    <row r="20" spans="1:7" ht="15">
      <c r="A20" s="59" t="s">
        <v>91</v>
      </c>
      <c r="B20" s="23">
        <v>1461910000</v>
      </c>
      <c r="C20" s="6">
        <v>528430018.88</v>
      </c>
      <c r="D20" s="6">
        <f>99459381.96+499000</f>
        <v>99958381.96</v>
      </c>
      <c r="E20" s="6">
        <f t="shared" si="2"/>
        <v>628388400.84</v>
      </c>
      <c r="F20" s="16">
        <f t="shared" si="0"/>
        <v>0.429840688441833</v>
      </c>
      <c r="G20" s="60">
        <f t="shared" si="1"/>
        <v>-833521599.16</v>
      </c>
    </row>
    <row r="21" spans="1:7" ht="15.75" customHeight="1">
      <c r="A21" s="59" t="s">
        <v>81</v>
      </c>
      <c r="B21" s="23">
        <v>14600000</v>
      </c>
      <c r="C21" s="6">
        <v>2195300</v>
      </c>
      <c r="D21" s="6">
        <v>3042000</v>
      </c>
      <c r="E21" s="6">
        <f t="shared" si="2"/>
        <v>5237300</v>
      </c>
      <c r="F21" s="16">
        <f t="shared" si="0"/>
        <v>0.3587191780821918</v>
      </c>
      <c r="G21" s="60">
        <f t="shared" si="1"/>
        <v>-9362700</v>
      </c>
    </row>
    <row r="22" spans="1:7" ht="15">
      <c r="A22" s="59" t="s">
        <v>14</v>
      </c>
      <c r="B22" s="23">
        <v>2616666835</v>
      </c>
      <c r="C22" s="6">
        <v>459642789.77</v>
      </c>
      <c r="D22" s="6">
        <v>199587654.94</v>
      </c>
      <c r="E22" s="6">
        <f t="shared" si="2"/>
        <v>659230444.71</v>
      </c>
      <c r="F22" s="16">
        <f t="shared" si="0"/>
        <v>0.2519351855927046</v>
      </c>
      <c r="G22" s="60">
        <f t="shared" si="1"/>
        <v>-1957436390.29</v>
      </c>
    </row>
    <row r="23" spans="1:7" ht="15">
      <c r="A23" s="59" t="s">
        <v>15</v>
      </c>
      <c r="B23" s="23">
        <v>9600000</v>
      </c>
      <c r="C23" s="6">
        <v>2880000</v>
      </c>
      <c r="D23" s="6">
        <v>0</v>
      </c>
      <c r="E23" s="6">
        <f t="shared" si="2"/>
        <v>2880000</v>
      </c>
      <c r="F23" s="16">
        <f t="shared" si="0"/>
        <v>0.3</v>
      </c>
      <c r="G23" s="60">
        <f t="shared" si="1"/>
        <v>-6720000</v>
      </c>
    </row>
    <row r="24" spans="1:7" ht="15">
      <c r="A24" s="59" t="s">
        <v>16</v>
      </c>
      <c r="B24" s="23">
        <v>1396060000</v>
      </c>
      <c r="C24" s="6">
        <v>249862300</v>
      </c>
      <c r="D24" s="6">
        <v>136692500</v>
      </c>
      <c r="E24" s="6">
        <f t="shared" si="2"/>
        <v>386554800</v>
      </c>
      <c r="F24" s="16">
        <f t="shared" si="0"/>
        <v>0.2768898184891767</v>
      </c>
      <c r="G24" s="60">
        <f t="shared" si="1"/>
        <v>-1009505200</v>
      </c>
    </row>
    <row r="25" spans="1:7" ht="15">
      <c r="A25" s="58" t="s">
        <v>17</v>
      </c>
      <c r="B25" s="5">
        <f>SUM(B17:B24)</f>
        <v>5578992835</v>
      </c>
      <c r="C25" s="5">
        <f>SUM(C17:C24)</f>
        <v>1244029408.65</v>
      </c>
      <c r="D25" s="5">
        <f>SUM(D17:D24)</f>
        <v>450138536.9</v>
      </c>
      <c r="E25" s="5">
        <f t="shared" si="2"/>
        <v>1694167945.5500002</v>
      </c>
      <c r="F25" s="20">
        <f t="shared" si="0"/>
        <v>0.30366913807839657</v>
      </c>
      <c r="G25" s="62">
        <f t="shared" si="1"/>
        <v>-3884824889.45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0</v>
      </c>
      <c r="D28" s="6">
        <v>0</v>
      </c>
      <c r="E28" s="6">
        <f>C28+D28</f>
        <v>0</v>
      </c>
      <c r="F28" s="16">
        <f>E28/B28*100%</f>
        <v>0</v>
      </c>
      <c r="G28" s="60">
        <f>E28-B28</f>
        <v>-3000000</v>
      </c>
    </row>
    <row r="29" spans="1:7" ht="15">
      <c r="A29" s="58" t="s">
        <v>19</v>
      </c>
      <c r="B29" s="5">
        <f>SUM(B28)</f>
        <v>3000000</v>
      </c>
      <c r="C29" s="5">
        <f>SUM(C28)</f>
        <v>0</v>
      </c>
      <c r="D29" s="5">
        <f>SUM(D28)</f>
        <v>0</v>
      </c>
      <c r="E29" s="5">
        <f>C29+D29</f>
        <v>0</v>
      </c>
      <c r="F29" s="20">
        <f>E29/B29*100%</f>
        <v>0</v>
      </c>
      <c r="G29" s="62">
        <f>E29-B29</f>
        <v>-3000000</v>
      </c>
    </row>
    <row r="30" spans="1:7" ht="15">
      <c r="A30" s="58" t="s">
        <v>20</v>
      </c>
      <c r="B30" s="5">
        <f>B13+B25+B29</f>
        <v>5672592835</v>
      </c>
      <c r="C30" s="5">
        <f>C29+C25+C13</f>
        <v>1244029408.65</v>
      </c>
      <c r="D30" s="5">
        <f>D29+D25+D13</f>
        <v>451338536.9</v>
      </c>
      <c r="E30" s="5">
        <f>E29+E25+E13</f>
        <v>1695367945.5500002</v>
      </c>
      <c r="F30" s="20">
        <f>E30/B30*100%</f>
        <v>0.29887002202759017</v>
      </c>
      <c r="G30" s="62">
        <f>E30-B30</f>
        <v>-3977224889.45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46143000</v>
      </c>
      <c r="D35" s="6">
        <v>28647000</v>
      </c>
      <c r="E35" s="6">
        <f>C35+D35</f>
        <v>74790000</v>
      </c>
      <c r="F35" s="16">
        <f>E35/B35*100%</f>
        <v>0.29192037470725996</v>
      </c>
      <c r="G35" s="60">
        <f>E35-B35</f>
        <v>-181410000</v>
      </c>
    </row>
    <row r="36" spans="1:7" ht="15">
      <c r="A36" s="59" t="s">
        <v>24</v>
      </c>
      <c r="B36" s="23">
        <v>39600000</v>
      </c>
      <c r="C36" s="6">
        <v>545000</v>
      </c>
      <c r="D36" s="6">
        <v>467300</v>
      </c>
      <c r="E36" s="6">
        <f>C36+D36</f>
        <v>1012300</v>
      </c>
      <c r="F36" s="16">
        <f>E36/B36*100%</f>
        <v>0.025563131313131312</v>
      </c>
      <c r="G36" s="60">
        <f>E36-B36</f>
        <v>-38587700</v>
      </c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15763400</v>
      </c>
      <c r="D38" s="6">
        <v>12450000</v>
      </c>
      <c r="E38" s="6">
        <f>C38+D38</f>
        <v>28213400</v>
      </c>
      <c r="F38" s="16">
        <f>E38/B38*100%</f>
        <v>0.1351365332388146</v>
      </c>
      <c r="G38" s="60">
        <f>E38-B38</f>
        <v>-180563600</v>
      </c>
    </row>
    <row r="39" spans="1:7" ht="15">
      <c r="A39" s="58" t="s">
        <v>26</v>
      </c>
      <c r="B39" s="5">
        <f>SUM(B35:B38)</f>
        <v>512577000</v>
      </c>
      <c r="C39" s="5">
        <f>SUM(C35:C38)</f>
        <v>62451400</v>
      </c>
      <c r="D39" s="5">
        <f>SUM(D35:D38)</f>
        <v>41564300</v>
      </c>
      <c r="E39" s="5">
        <f>SUM(E35:E38)</f>
        <v>104015700</v>
      </c>
      <c r="F39" s="20">
        <f>E39/B39*100%</f>
        <v>0.20292697487401892</v>
      </c>
      <c r="G39" s="62">
        <f>E39-B39</f>
        <v>-408561300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123987000</v>
      </c>
      <c r="D42" s="36">
        <v>79850000</v>
      </c>
      <c r="E42" s="6">
        <f>C42+D42</f>
        <v>203837000</v>
      </c>
      <c r="F42" s="16">
        <f>E42/B42*100%</f>
        <v>0.39168540189466</v>
      </c>
      <c r="G42" s="60">
        <f>E42-B42</f>
        <v>-316573000</v>
      </c>
    </row>
    <row r="43" spans="1:7" ht="15">
      <c r="A43" s="58" t="s">
        <v>29</v>
      </c>
      <c r="B43" s="5">
        <f>SUM(B42)</f>
        <v>520410000</v>
      </c>
      <c r="C43" s="5">
        <f>SUM(C42)</f>
        <v>123987000</v>
      </c>
      <c r="D43" s="5">
        <f>SUM(D42)</f>
        <v>79850000</v>
      </c>
      <c r="E43" s="5">
        <f>SUM(E42)</f>
        <v>203837000</v>
      </c>
      <c r="F43" s="20">
        <f>E43/B43*100%</f>
        <v>0.39168540189466</v>
      </c>
      <c r="G43" s="62">
        <f>E43-B43</f>
        <v>-316573000</v>
      </c>
    </row>
    <row r="44" spans="1:7" ht="15">
      <c r="A44" s="59"/>
      <c r="B44" s="6"/>
      <c r="C44" s="6"/>
      <c r="D44" s="6"/>
      <c r="E44" s="6"/>
      <c r="F44" s="16"/>
      <c r="G44" s="60"/>
    </row>
    <row r="45" spans="1:7" ht="15">
      <c r="A45" s="58" t="s">
        <v>30</v>
      </c>
      <c r="B45" s="12"/>
      <c r="C45" s="12"/>
      <c r="D45" s="12"/>
      <c r="E45" s="86"/>
      <c r="F45" s="16"/>
      <c r="G45" s="60"/>
    </row>
    <row r="46" spans="1:7" ht="15">
      <c r="A46" s="59" t="s">
        <v>31</v>
      </c>
      <c r="B46" s="23">
        <v>147700000</v>
      </c>
      <c r="C46" s="6">
        <v>50000000</v>
      </c>
      <c r="D46" s="6">
        <v>4350000</v>
      </c>
      <c r="E46" s="6">
        <f>C46+D46</f>
        <v>54350000</v>
      </c>
      <c r="F46" s="20">
        <f>E46/B46*100%</f>
        <v>0.3679756262694651</v>
      </c>
      <c r="G46" s="62">
        <f>E46-B46</f>
        <v>-93350000</v>
      </c>
    </row>
    <row r="47" spans="1:7" ht="15.75">
      <c r="A47" s="61" t="s">
        <v>83</v>
      </c>
      <c r="B47" s="23">
        <v>12000000</v>
      </c>
      <c r="C47" s="6">
        <v>7750000</v>
      </c>
      <c r="D47" s="6">
        <v>1550000</v>
      </c>
      <c r="E47" s="6">
        <f>C47+D47</f>
        <v>9300000</v>
      </c>
      <c r="F47" s="20">
        <f>E47/B47*100%</f>
        <v>0.775</v>
      </c>
      <c r="G47" s="62">
        <f>E47-B47</f>
        <v>-2700000</v>
      </c>
    </row>
    <row r="48" spans="1:7" ht="15">
      <c r="A48" s="58" t="s">
        <v>32</v>
      </c>
      <c r="B48" s="5">
        <f>SUM(B46:B47)</f>
        <v>159700000</v>
      </c>
      <c r="C48" s="5">
        <f>SUM(C46:C47)</f>
        <v>57750000</v>
      </c>
      <c r="D48" s="5">
        <f>SUM(D46:D47)</f>
        <v>5900000</v>
      </c>
      <c r="E48" s="5">
        <f>SUM(E46:E47)</f>
        <v>63650000</v>
      </c>
      <c r="F48" s="20">
        <f>E48/B48*100%</f>
        <v>0.39855979962429555</v>
      </c>
      <c r="G48" s="62">
        <f>E48-B48</f>
        <v>-96050000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950000</v>
      </c>
      <c r="D51" s="6">
        <v>500000</v>
      </c>
      <c r="E51" s="6">
        <f>C51+D51</f>
        <v>1450000</v>
      </c>
      <c r="F51" s="16">
        <f>E51/B51*100%</f>
        <v>0.09666666666666666</v>
      </c>
      <c r="G51" s="60">
        <f>E51-B51</f>
        <v>-13550000</v>
      </c>
    </row>
    <row r="52" spans="1:7" ht="15">
      <c r="A52" s="59" t="s">
        <v>35</v>
      </c>
      <c r="B52" s="23">
        <v>40000000</v>
      </c>
      <c r="C52" s="6">
        <v>9140000</v>
      </c>
      <c r="D52" s="6">
        <v>4570000</v>
      </c>
      <c r="E52" s="6">
        <f>C52+D52</f>
        <v>13710000</v>
      </c>
      <c r="F52" s="16">
        <f>E52/B52*100%</f>
        <v>0.34275</v>
      </c>
      <c r="G52" s="60">
        <f>E52-B52</f>
        <v>-26290000</v>
      </c>
    </row>
    <row r="53" spans="1:7" ht="15">
      <c r="A53" s="58" t="s">
        <v>36</v>
      </c>
      <c r="B53" s="5">
        <f>SUM(B51:B52)</f>
        <v>55000000</v>
      </c>
      <c r="C53" s="5">
        <f>SUM(C51:C52)</f>
        <v>10090000</v>
      </c>
      <c r="D53" s="5">
        <f>SUM(D51:D52)</f>
        <v>5070000</v>
      </c>
      <c r="E53" s="5">
        <f>SUM(E51:E52)</f>
        <v>15160000</v>
      </c>
      <c r="F53" s="20">
        <f>E53/B53*100%</f>
        <v>0.2756363636363636</v>
      </c>
      <c r="G53" s="62">
        <f>E53-B53</f>
        <v>-39840000</v>
      </c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7" ht="15">
      <c r="A55" s="58" t="s">
        <v>84</v>
      </c>
      <c r="B55" s="5"/>
      <c r="C55" s="5"/>
      <c r="D55" s="5"/>
      <c r="E55" s="5"/>
      <c r="F55" s="16"/>
      <c r="G55" s="60"/>
    </row>
    <row r="56" spans="1:7" ht="15.75">
      <c r="A56" s="61" t="s">
        <v>85</v>
      </c>
      <c r="B56" s="23">
        <v>8100000</v>
      </c>
      <c r="C56" s="6">
        <v>1219500</v>
      </c>
      <c r="D56" s="6">
        <v>100500</v>
      </c>
      <c r="E56" s="6">
        <f>C56+D56</f>
        <v>1320000</v>
      </c>
      <c r="F56" s="16">
        <f>E56/B56*100%</f>
        <v>0.16296296296296298</v>
      </c>
      <c r="G56" s="60">
        <f>E56-B56</f>
        <v>-6780000</v>
      </c>
    </row>
    <row r="57" spans="1:7" ht="15.75">
      <c r="A57" s="63" t="s">
        <v>86</v>
      </c>
      <c r="B57" s="24">
        <f>SUM(B56)</f>
        <v>8100000</v>
      </c>
      <c r="C57" s="37">
        <f>SUM(C56)</f>
        <v>1219500</v>
      </c>
      <c r="D57" s="37">
        <f>SUM(D56)</f>
        <v>100500</v>
      </c>
      <c r="E57" s="37">
        <f>SUM(E56)</f>
        <v>1320000</v>
      </c>
      <c r="F57" s="20">
        <f>E57/B57*100%</f>
        <v>0.16296296296296298</v>
      </c>
      <c r="G57" s="60">
        <f>E57-B57</f>
        <v>-6780000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7" ht="15">
      <c r="A59" s="64" t="s">
        <v>37</v>
      </c>
      <c r="B59" s="5">
        <f>B39+B43+B48+B53+B57</f>
        <v>1255787000</v>
      </c>
      <c r="C59" s="5">
        <f>C53+C48+C43+C39+C57</f>
        <v>255497900</v>
      </c>
      <c r="D59" s="5">
        <f>D53+D48+D43+D39+D57</f>
        <v>132484800</v>
      </c>
      <c r="E59" s="5">
        <f>E53+E48+E43+E39+E57</f>
        <v>387982700</v>
      </c>
      <c r="F59" s="20">
        <f>E59/B59*100%</f>
        <v>0.30895581814431905</v>
      </c>
      <c r="G59" s="62">
        <f>E59-B59</f>
        <v>-867804300</v>
      </c>
    </row>
    <row r="60" spans="1:7" ht="15">
      <c r="A60" s="64"/>
      <c r="B60" s="5"/>
      <c r="C60" s="5"/>
      <c r="D60" s="5"/>
      <c r="E60" s="5"/>
      <c r="F60" s="20"/>
      <c r="G60" s="62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12207400</v>
      </c>
      <c r="D64" s="6">
        <v>29108000</v>
      </c>
      <c r="E64" s="6">
        <f>C64+D64</f>
        <v>41315400</v>
      </c>
      <c r="F64" s="16">
        <f aca="true" t="shared" si="3" ref="F64:F69">E64/B64*100%</f>
        <v>0.06355824256968802</v>
      </c>
      <c r="G64" s="60">
        <f aca="true" t="shared" si="4" ref="G64:G69">E64-B64</f>
        <v>-608724600</v>
      </c>
    </row>
    <row r="65" spans="1:7" ht="15">
      <c r="A65" s="59" t="s">
        <v>41</v>
      </c>
      <c r="B65" s="23">
        <v>192000000</v>
      </c>
      <c r="C65" s="6">
        <v>65200000</v>
      </c>
      <c r="D65" s="6">
        <f>16200000+15800000</f>
        <v>32000000</v>
      </c>
      <c r="E65" s="6">
        <f>C65+D65</f>
        <v>97200000</v>
      </c>
      <c r="F65" s="16">
        <f t="shared" si="3"/>
        <v>0.50625</v>
      </c>
      <c r="G65" s="60">
        <f t="shared" si="4"/>
        <v>-94800000</v>
      </c>
    </row>
    <row r="66" spans="1:7" ht="15">
      <c r="A66" s="59" t="s">
        <v>42</v>
      </c>
      <c r="B66" s="23">
        <v>589200000</v>
      </c>
      <c r="C66" s="6">
        <v>178828000</v>
      </c>
      <c r="D66" s="6">
        <v>44707000</v>
      </c>
      <c r="E66" s="6">
        <f>C66+D66</f>
        <v>223535000</v>
      </c>
      <c r="F66" s="16">
        <f t="shared" si="3"/>
        <v>0.37938730482009503</v>
      </c>
      <c r="G66" s="60">
        <f t="shared" si="4"/>
        <v>-365665000</v>
      </c>
    </row>
    <row r="67" spans="1:7" ht="15">
      <c r="A67" s="59" t="s">
        <v>43</v>
      </c>
      <c r="B67" s="23">
        <v>20400000</v>
      </c>
      <c r="C67" s="6">
        <v>4836500</v>
      </c>
      <c r="D67" s="6">
        <v>3602000</v>
      </c>
      <c r="E67" s="6">
        <f>C67+D67</f>
        <v>8438500</v>
      </c>
      <c r="F67" s="16">
        <f t="shared" si="3"/>
        <v>0.4136519607843137</v>
      </c>
      <c r="G67" s="60">
        <f t="shared" si="4"/>
        <v>-11961500</v>
      </c>
    </row>
    <row r="68" spans="1:7" ht="15.75">
      <c r="A68" s="61" t="s">
        <v>87</v>
      </c>
      <c r="B68" s="23">
        <v>10800000</v>
      </c>
      <c r="C68" s="6">
        <v>2500000</v>
      </c>
      <c r="D68" s="6">
        <v>2500000</v>
      </c>
      <c r="E68" s="6">
        <f>C68+D68</f>
        <v>5000000</v>
      </c>
      <c r="F68" s="16">
        <f t="shared" si="3"/>
        <v>0.46296296296296297</v>
      </c>
      <c r="G68" s="60">
        <f t="shared" si="4"/>
        <v>-5800000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263571900</v>
      </c>
      <c r="D69" s="5">
        <f>SUM(D64:D68)</f>
        <v>111917000</v>
      </c>
      <c r="E69" s="5">
        <f>SUM(E64:E68)</f>
        <v>375488900</v>
      </c>
      <c r="F69" s="20">
        <f t="shared" si="3"/>
        <v>0.25675508055031315</v>
      </c>
      <c r="G69" s="62">
        <f t="shared" si="4"/>
        <v>-1086951100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200000000</v>
      </c>
      <c r="D74" s="6">
        <v>100000000</v>
      </c>
      <c r="E74" s="6">
        <f>C74+D74</f>
        <v>300000000</v>
      </c>
      <c r="F74" s="16">
        <f>E74/B74*100%</f>
        <v>0.649048371227716</v>
      </c>
      <c r="G74" s="60">
        <f>E74-B74</f>
        <v>-162215165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200000000</v>
      </c>
      <c r="D76" s="5">
        <f>SUM(D74:D75)</f>
        <v>100000000</v>
      </c>
      <c r="E76" s="5">
        <f>SUM(E74:E75)</f>
        <v>300000000</v>
      </c>
      <c r="F76" s="20">
        <f>E76/B76*100%</f>
        <v>0.35451976330393464</v>
      </c>
      <c r="G76" s="62">
        <f>E76-B76</f>
        <v>-546215165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7" ht="15">
      <c r="A79" s="59" t="s">
        <v>50</v>
      </c>
      <c r="B79" s="7">
        <v>2172844000</v>
      </c>
      <c r="C79" s="30">
        <v>46252023</v>
      </c>
      <c r="D79" s="30">
        <v>26066000</v>
      </c>
      <c r="E79" s="31">
        <f>C79+D79</f>
        <v>72318023</v>
      </c>
      <c r="F79" s="16">
        <f>E79/B79*100%</f>
        <v>0.03328265765973075</v>
      </c>
      <c r="G79" s="60">
        <f>E79-B79</f>
        <v>-2100525977</v>
      </c>
    </row>
    <row r="80" spans="1:7" ht="15">
      <c r="A80" s="64" t="s">
        <v>94</v>
      </c>
      <c r="B80" s="25">
        <f>B79</f>
        <v>2172844000</v>
      </c>
      <c r="C80" s="25">
        <f>C79</f>
        <v>46252023</v>
      </c>
      <c r="D80" s="25">
        <f>D79</f>
        <v>26066000</v>
      </c>
      <c r="E80" s="25">
        <f>E79</f>
        <v>72318023</v>
      </c>
      <c r="F80" s="20">
        <f>E80/B80*100%</f>
        <v>0.03328265765973075</v>
      </c>
      <c r="G80" s="62">
        <f>E80-B80</f>
        <v>-2100525977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15">
      <c r="A82" s="64" t="s">
        <v>51</v>
      </c>
      <c r="B82" s="5">
        <f>B80+B76</f>
        <v>3019059165</v>
      </c>
      <c r="C82" s="32">
        <f>C80+C76</f>
        <v>246252023</v>
      </c>
      <c r="D82" s="32">
        <f>D80+D76</f>
        <v>126066000</v>
      </c>
      <c r="E82" s="32">
        <f>E80+E76</f>
        <v>372318023</v>
      </c>
      <c r="F82" s="20">
        <f>E82/B82*100%</f>
        <v>0.12332253283284032</v>
      </c>
      <c r="G82" s="62">
        <f>E82-B82</f>
        <v>-2646741142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509823923</v>
      </c>
      <c r="D84" s="32">
        <f>D82+D69</f>
        <v>237983000</v>
      </c>
      <c r="E84" s="32">
        <f>E82+E69</f>
        <v>747806923</v>
      </c>
      <c r="F84" s="20">
        <f>E84/B84*100%</f>
        <v>0.166865349176072</v>
      </c>
      <c r="G84" s="62">
        <f>E84-B84</f>
        <v>-3733692242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2009351231.65</v>
      </c>
      <c r="D86" s="32">
        <f>D84+D59+D30</f>
        <v>821806336.9</v>
      </c>
      <c r="E86" s="32">
        <f>E84+E59+E30</f>
        <v>2831157568.55</v>
      </c>
      <c r="F86" s="20">
        <f>E86/B86*100%</f>
        <v>0.24813212905675863</v>
      </c>
      <c r="G86" s="62">
        <f>E86-B86</f>
        <v>-8578721431.45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07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v>342205000</v>
      </c>
      <c r="D91" s="40">
        <v>240058000</v>
      </c>
      <c r="E91" s="40">
        <f>C91+D91</f>
        <v>582263000</v>
      </c>
      <c r="F91" s="16">
        <f>E91/B91*100%</f>
        <v>0.8170839349939869</v>
      </c>
      <c r="G91" s="60">
        <f>E91-B91</f>
        <v>-130348000</v>
      </c>
    </row>
    <row r="92" spans="1:7" ht="15">
      <c r="A92" s="59" t="s">
        <v>57</v>
      </c>
      <c r="B92" s="6">
        <v>333315000</v>
      </c>
      <c r="C92" s="40">
        <f>11126000+26223000+6400000</f>
        <v>43749000</v>
      </c>
      <c r="D92" s="40">
        <v>0</v>
      </c>
      <c r="E92" s="40">
        <f aca="true" t="shared" si="5" ref="E92:E97">C92+D92</f>
        <v>43749000</v>
      </c>
      <c r="F92" s="16">
        <f aca="true" t="shared" si="6" ref="F92:F98">E92/B92*100%</f>
        <v>0.131254218982044</v>
      </c>
      <c r="G92" s="60">
        <f aca="true" t="shared" si="7" ref="G92:G98">E92-B92</f>
        <v>-289566000</v>
      </c>
    </row>
    <row r="93" spans="1:7" ht="15">
      <c r="A93" s="59" t="s">
        <v>58</v>
      </c>
      <c r="B93" s="17">
        <v>1099360000</v>
      </c>
      <c r="C93" s="40">
        <f>7220000+22654000+19794000+14793000+10727000</f>
        <v>75188000</v>
      </c>
      <c r="D93" s="40">
        <v>0</v>
      </c>
      <c r="E93" s="40">
        <f t="shared" si="5"/>
        <v>75188000</v>
      </c>
      <c r="F93" s="16">
        <f t="shared" si="6"/>
        <v>0.06839251928394702</v>
      </c>
      <c r="G93" s="60">
        <f t="shared" si="7"/>
        <v>-1024172000</v>
      </c>
    </row>
    <row r="94" spans="1:7" ht="15">
      <c r="A94" s="59" t="s">
        <v>59</v>
      </c>
      <c r="B94" s="17">
        <v>1647264000</v>
      </c>
      <c r="C94" s="40">
        <f>78415000+9231000+9231000+26297000+33039000+78415000</f>
        <v>234628000</v>
      </c>
      <c r="D94" s="40">
        <v>0</v>
      </c>
      <c r="E94" s="40">
        <f t="shared" si="5"/>
        <v>234628000</v>
      </c>
      <c r="F94" s="16">
        <f t="shared" si="6"/>
        <v>0.14243497095790353</v>
      </c>
      <c r="G94" s="60">
        <f t="shared" si="7"/>
        <v>-1412636000</v>
      </c>
    </row>
    <row r="95" spans="1:7" ht="15">
      <c r="A95" s="59" t="s">
        <v>60</v>
      </c>
      <c r="B95" s="17">
        <f>24982000+5421000</f>
        <v>30403000</v>
      </c>
      <c r="C95" s="40">
        <v>904000</v>
      </c>
      <c r="D95" s="40">
        <v>0</v>
      </c>
      <c r="E95" s="40">
        <f t="shared" si="5"/>
        <v>904000</v>
      </c>
      <c r="F95" s="16">
        <f t="shared" si="6"/>
        <v>0.0297339078380423</v>
      </c>
      <c r="G95" s="60">
        <f t="shared" si="7"/>
        <v>-29499000</v>
      </c>
    </row>
    <row r="96" spans="1:7" ht="15">
      <c r="A96" s="59" t="s">
        <v>61</v>
      </c>
      <c r="B96" s="17">
        <v>27938000</v>
      </c>
      <c r="C96" s="40">
        <v>1164000</v>
      </c>
      <c r="D96" s="40">
        <v>0</v>
      </c>
      <c r="E96" s="40">
        <f t="shared" si="5"/>
        <v>1164000</v>
      </c>
      <c r="F96" s="16">
        <f t="shared" si="6"/>
        <v>0.041663683871429595</v>
      </c>
      <c r="G96" s="60">
        <f t="shared" si="7"/>
        <v>-26774000</v>
      </c>
    </row>
    <row r="97" spans="1:7" ht="15">
      <c r="A97" s="59" t="s">
        <v>62</v>
      </c>
      <c r="B97" s="17">
        <v>17132000</v>
      </c>
      <c r="C97" s="40">
        <v>714000</v>
      </c>
      <c r="D97" s="40">
        <v>0</v>
      </c>
      <c r="E97" s="40">
        <f t="shared" si="5"/>
        <v>714000</v>
      </c>
      <c r="F97" s="16">
        <f t="shared" si="6"/>
        <v>0.04167639505019846</v>
      </c>
      <c r="G97" s="60">
        <f t="shared" si="7"/>
        <v>-16418000</v>
      </c>
    </row>
    <row r="98" spans="1:7" ht="15">
      <c r="A98" s="65" t="s">
        <v>63</v>
      </c>
      <c r="B98" s="41">
        <f>SUM(B91:B97)</f>
        <v>3868023000</v>
      </c>
      <c r="C98" s="42">
        <f>SUM(C91:C97)</f>
        <v>698552000</v>
      </c>
      <c r="D98" s="42">
        <f>SUM(D91:D97)</f>
        <v>240058000</v>
      </c>
      <c r="E98" s="42">
        <f>SUM(E91:E97)</f>
        <v>938610000</v>
      </c>
      <c r="F98" s="43">
        <f t="shared" si="6"/>
        <v>0.24265884665111867</v>
      </c>
      <c r="G98" s="66">
        <f t="shared" si="7"/>
        <v>-2929413000</v>
      </c>
    </row>
    <row r="99" spans="1:7" ht="15">
      <c r="A99" s="58"/>
      <c r="B99" s="5"/>
      <c r="C99" s="32"/>
      <c r="D99" s="32"/>
      <c r="E99" s="32"/>
      <c r="F99" s="20"/>
      <c r="G99" s="62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85">
        <v>6377577345.389999</v>
      </c>
      <c r="D101" s="116">
        <v>3184223897.6</v>
      </c>
      <c r="E101" s="31">
        <f>C101+D101</f>
        <v>9561801242.99</v>
      </c>
      <c r="F101" s="16">
        <f>E101/B101*100%</f>
        <v>0.24739802971109767</v>
      </c>
      <c r="G101" s="60">
        <f>E101-B101</f>
        <v>-29087662757.010002</v>
      </c>
    </row>
    <row r="102" spans="1:7" ht="15">
      <c r="A102" s="58" t="s">
        <v>66</v>
      </c>
      <c r="B102" s="5">
        <f>SUM(B101)</f>
        <v>38649464000</v>
      </c>
      <c r="C102" s="32">
        <f>SUM(C101)</f>
        <v>6377577345.389999</v>
      </c>
      <c r="D102" s="32">
        <f>SUM(D101)</f>
        <v>3184223897.6</v>
      </c>
      <c r="E102" s="32">
        <f>SUM(E101)</f>
        <v>9561801242.99</v>
      </c>
      <c r="F102" s="20">
        <f>E102/B102*100%</f>
        <v>0.24739802971109767</v>
      </c>
      <c r="G102" s="62">
        <f>E102-B102</f>
        <v>-29087662757.010002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7076129345.389999</v>
      </c>
      <c r="D104" s="32">
        <f>D102+D98</f>
        <v>3424281897.6</v>
      </c>
      <c r="E104" s="32">
        <f>E102+E98</f>
        <v>10500411242.99</v>
      </c>
      <c r="F104" s="20">
        <f>E104/B104*100%</f>
        <v>0.24696688313187465</v>
      </c>
      <c r="G104" s="62">
        <f>E104-B104</f>
        <v>-32017075757.010002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8" ref="F108:F118">E108/B108*100%</f>
        <v>0</v>
      </c>
      <c r="G108" s="60">
        <f aca="true" t="shared" si="9" ref="G108:G118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0</v>
      </c>
      <c r="E109" s="31">
        <f aca="true" t="shared" si="10" ref="E109:E116">C109+D109</f>
        <v>0</v>
      </c>
      <c r="F109" s="16">
        <f t="shared" si="8"/>
        <v>0</v>
      </c>
      <c r="G109" s="60">
        <f t="shared" si="9"/>
        <v>-434189000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10"/>
        <v>0</v>
      </c>
      <c r="F110" s="16">
        <f t="shared" si="8"/>
        <v>0</v>
      </c>
      <c r="G110" s="60">
        <f t="shared" si="9"/>
        <v>-18838000</v>
      </c>
    </row>
    <row r="111" spans="1:7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-1646097000</v>
      </c>
    </row>
    <row r="112" spans="1:7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-1151698000</v>
      </c>
    </row>
    <row r="113" spans="1:7" ht="15">
      <c r="A113" s="59" t="s">
        <v>73</v>
      </c>
      <c r="B113" s="6">
        <v>85819000</v>
      </c>
      <c r="C113" s="31">
        <v>0</v>
      </c>
      <c r="D113" s="31">
        <v>0</v>
      </c>
      <c r="E113" s="31">
        <f t="shared" si="10"/>
        <v>0</v>
      </c>
      <c r="F113" s="16">
        <f t="shared" si="8"/>
        <v>0</v>
      </c>
      <c r="G113" s="60">
        <f t="shared" si="9"/>
        <v>-85819000</v>
      </c>
    </row>
    <row r="114" spans="1:7" ht="15">
      <c r="A114" s="59" t="s">
        <v>104</v>
      </c>
      <c r="B114" s="6">
        <v>0</v>
      </c>
      <c r="C114" s="31">
        <v>426492000</v>
      </c>
      <c r="D114" s="31">
        <v>399429000</v>
      </c>
      <c r="E114" s="31">
        <f t="shared" si="10"/>
        <v>825921000</v>
      </c>
      <c r="F114" s="16">
        <v>1</v>
      </c>
      <c r="G114" s="60">
        <f t="shared" si="9"/>
        <v>825921000</v>
      </c>
    </row>
    <row r="115" spans="1:7" ht="15">
      <c r="A115" s="59" t="s">
        <v>110</v>
      </c>
      <c r="B115" s="6">
        <v>0</v>
      </c>
      <c r="C115" s="31">
        <v>0</v>
      </c>
      <c r="D115" s="31">
        <v>38313923.62</v>
      </c>
      <c r="E115" s="31">
        <f>C115+D115</f>
        <v>38313923.62</v>
      </c>
      <c r="F115" s="16">
        <v>1</v>
      </c>
      <c r="G115" s="60">
        <f>E115-B115</f>
        <v>38313923.62</v>
      </c>
    </row>
    <row r="116" spans="1:7" ht="15">
      <c r="A116" s="59" t="s">
        <v>74</v>
      </c>
      <c r="B116" s="6">
        <v>32713000</v>
      </c>
      <c r="C116" s="31">
        <v>0</v>
      </c>
      <c r="D116" s="31">
        <v>0</v>
      </c>
      <c r="E116" s="31">
        <f t="shared" si="10"/>
        <v>0</v>
      </c>
      <c r="F116" s="16">
        <f t="shared" si="8"/>
        <v>0</v>
      </c>
      <c r="G116" s="60">
        <f t="shared" si="9"/>
        <v>-32713000</v>
      </c>
    </row>
    <row r="117" spans="1:7" ht="20.25" customHeight="1">
      <c r="A117" s="58" t="s">
        <v>75</v>
      </c>
      <c r="B117" s="5">
        <f>SUM(B108:B116)</f>
        <v>3379769000</v>
      </c>
      <c r="C117" s="32">
        <f>SUM(C108:C116)</f>
        <v>426492000</v>
      </c>
      <c r="D117" s="32">
        <f>SUM(D108:D116)</f>
        <v>437742923.62</v>
      </c>
      <c r="E117" s="32">
        <f>SUM(E108:E116)</f>
        <v>864234923.62</v>
      </c>
      <c r="F117" s="20">
        <f t="shared" si="8"/>
        <v>0.25570828172576293</v>
      </c>
      <c r="G117" s="60">
        <f t="shared" si="9"/>
        <v>-2515534076.38</v>
      </c>
    </row>
    <row r="118" spans="1:7" ht="21" customHeight="1">
      <c r="A118" s="65" t="s">
        <v>76</v>
      </c>
      <c r="B118" s="41">
        <f>B117+B104</f>
        <v>45897256000</v>
      </c>
      <c r="C118" s="42">
        <f>C117+C104</f>
        <v>7502621345.389999</v>
      </c>
      <c r="D118" s="42">
        <f>D117+D104</f>
        <v>3862024821.22</v>
      </c>
      <c r="E118" s="42">
        <f>E117+E104</f>
        <v>11364646166.61</v>
      </c>
      <c r="F118" s="43">
        <f t="shared" si="8"/>
        <v>0.2476105797394511</v>
      </c>
      <c r="G118" s="66">
        <f t="shared" si="9"/>
        <v>-34532609833.39</v>
      </c>
    </row>
    <row r="119" spans="1:7" ht="21" customHeight="1">
      <c r="A119" s="1"/>
      <c r="B119" s="5"/>
      <c r="C119" s="32"/>
      <c r="D119" s="32"/>
      <c r="E119" s="32"/>
      <c r="F119" s="20"/>
      <c r="G119" s="5"/>
    </row>
    <row r="120" spans="1:7" ht="20.25" customHeight="1">
      <c r="A120" s="93" t="s">
        <v>96</v>
      </c>
      <c r="B120" s="94"/>
      <c r="C120" s="92"/>
      <c r="D120" s="92"/>
      <c r="E120" s="92"/>
      <c r="F120" s="95"/>
      <c r="G120" s="96"/>
    </row>
    <row r="121" spans="1:7" ht="20.25" customHeight="1">
      <c r="A121" s="59" t="s">
        <v>95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17.25" customHeight="1">
      <c r="A122" s="59" t="s">
        <v>92</v>
      </c>
      <c r="B122" s="6">
        <v>0</v>
      </c>
      <c r="C122" s="31">
        <v>0</v>
      </c>
      <c r="D122" s="31">
        <v>0</v>
      </c>
      <c r="E122" s="31">
        <f>C122+D122</f>
        <v>0</v>
      </c>
      <c r="F122" s="16">
        <v>1</v>
      </c>
      <c r="G122" s="60">
        <f>E122-B122</f>
        <v>0</v>
      </c>
    </row>
    <row r="123" spans="1:7" ht="21" customHeight="1" thickBot="1">
      <c r="A123" s="90" t="s">
        <v>97</v>
      </c>
      <c r="B123" s="91">
        <f>SUM(B121:B122)</f>
        <v>0</v>
      </c>
      <c r="C123" s="91">
        <v>0</v>
      </c>
      <c r="D123" s="91">
        <f>SUM(D121:D122)</f>
        <v>0</v>
      </c>
      <c r="E123" s="32">
        <f>C123+D123</f>
        <v>0</v>
      </c>
      <c r="F123" s="20">
        <v>1</v>
      </c>
      <c r="G123" s="62">
        <f>E123-B123</f>
        <v>0</v>
      </c>
    </row>
    <row r="124" spans="1:7" ht="21" customHeight="1" thickBot="1">
      <c r="A124" s="90" t="s">
        <v>98</v>
      </c>
      <c r="B124" s="91">
        <f>B117+B123</f>
        <v>3379769000</v>
      </c>
      <c r="C124" s="91">
        <f>C117+C123</f>
        <v>426492000</v>
      </c>
      <c r="D124" s="91">
        <f>D117+D123</f>
        <v>437742923.62</v>
      </c>
      <c r="E124" s="91">
        <f>E117+E123</f>
        <v>864234923.62</v>
      </c>
      <c r="F124" s="20">
        <f>E124/B124*100%</f>
        <v>0.25570828172576293</v>
      </c>
      <c r="G124" s="62">
        <f>E124-B124</f>
        <v>-2515534076.38</v>
      </c>
    </row>
    <row r="125" spans="1:7" ht="28.5" customHeight="1" thickBot="1">
      <c r="A125" s="49" t="s">
        <v>77</v>
      </c>
      <c r="B125" s="50">
        <f>B118+B86+B123</f>
        <v>57307135000</v>
      </c>
      <c r="C125" s="50">
        <f>C118+C86+C123</f>
        <v>9511972577.039999</v>
      </c>
      <c r="D125" s="50">
        <f>D118+D86+D123</f>
        <v>4683831158.12</v>
      </c>
      <c r="E125" s="50">
        <f>E118+E86+E123</f>
        <v>14195803735.16</v>
      </c>
      <c r="F125" s="51">
        <f>E125/B125*100%</f>
        <v>0.24771442046718964</v>
      </c>
      <c r="G125" s="52">
        <f>E125-B125</f>
        <v>-43111331264.84</v>
      </c>
    </row>
    <row r="126" spans="3:5" ht="15">
      <c r="C126" s="108"/>
      <c r="E126" s="113"/>
    </row>
    <row r="127" ht="15">
      <c r="B127" s="113"/>
    </row>
  </sheetData>
  <sheetProtection/>
  <mergeCells count="2">
    <mergeCell ref="B3:C3"/>
    <mergeCell ref="B2:D2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0">
      <selection activeCell="C91" sqref="C91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111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88</v>
      </c>
      <c r="D6" s="9" t="s">
        <v>89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108</v>
      </c>
      <c r="D7" s="112" t="s">
        <v>112</v>
      </c>
      <c r="E7" s="75" t="s">
        <v>113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1200000</v>
      </c>
      <c r="D11" s="6">
        <v>0</v>
      </c>
      <c r="E11" s="6">
        <f>C11+D11</f>
        <v>1200000</v>
      </c>
      <c r="F11" s="16">
        <f>E11/B11*100%</f>
        <v>0.020618556701030927</v>
      </c>
      <c r="G11" s="60">
        <f>E11-B11</f>
        <v>-57000000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f>SUM(C11:C12)</f>
        <v>1200000</v>
      </c>
      <c r="D13" s="5">
        <f>SUM(D11:D12)</f>
        <v>0</v>
      </c>
      <c r="E13" s="5">
        <f>SUM(E11:E12)</f>
        <v>1200000</v>
      </c>
      <c r="F13" s="20">
        <f>E13/B13*100%</f>
        <v>0.013245033112582781</v>
      </c>
      <c r="G13" s="62">
        <f>E13-B13</f>
        <v>-89400000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200000</v>
      </c>
      <c r="D17" s="6">
        <v>200000</v>
      </c>
      <c r="E17" s="6">
        <f>C17+D17</f>
        <v>400000</v>
      </c>
      <c r="F17" s="16">
        <f aca="true" t="shared" si="0" ref="F17:F25">E17/B17*100%</f>
        <v>0.013333333333333334</v>
      </c>
      <c r="G17" s="60">
        <f aca="true" t="shared" si="1" ref="G17:G25">E17-B17</f>
        <v>-29600000</v>
      </c>
    </row>
    <row r="18" spans="1:7" ht="15">
      <c r="A18" s="59" t="s">
        <v>12</v>
      </c>
      <c r="B18" s="23">
        <v>10000000</v>
      </c>
      <c r="C18" s="6">
        <v>1240000</v>
      </c>
      <c r="D18" s="6">
        <v>0</v>
      </c>
      <c r="E18" s="6">
        <f aca="true" t="shared" si="2" ref="E18:E25">C18+D18</f>
        <v>1240000</v>
      </c>
      <c r="F18" s="16">
        <f t="shared" si="0"/>
        <v>0.124</v>
      </c>
      <c r="G18" s="60">
        <f t="shared" si="1"/>
        <v>-8760000</v>
      </c>
    </row>
    <row r="19" spans="1:7" ht="15">
      <c r="A19" s="59" t="s">
        <v>13</v>
      </c>
      <c r="B19" s="23">
        <v>40156000</v>
      </c>
      <c r="C19" s="6">
        <v>10437000</v>
      </c>
      <c r="D19" s="6">
        <v>8167000</v>
      </c>
      <c r="E19" s="6">
        <f t="shared" si="2"/>
        <v>18604000</v>
      </c>
      <c r="F19" s="16">
        <f t="shared" si="0"/>
        <v>0.46329315668891324</v>
      </c>
      <c r="G19" s="60">
        <f t="shared" si="1"/>
        <v>-21552000</v>
      </c>
    </row>
    <row r="20" spans="1:7" ht="15">
      <c r="A20" s="59" t="s">
        <v>91</v>
      </c>
      <c r="B20" s="23">
        <v>1461910000</v>
      </c>
      <c r="C20" s="6">
        <v>628388400.84</v>
      </c>
      <c r="D20" s="6">
        <f>47992425+86000</f>
        <v>48078425</v>
      </c>
      <c r="E20" s="6">
        <f t="shared" si="2"/>
        <v>676466825.84</v>
      </c>
      <c r="F20" s="16">
        <f t="shared" si="0"/>
        <v>0.4627280925911992</v>
      </c>
      <c r="G20" s="60">
        <f t="shared" si="1"/>
        <v>-785443174.16</v>
      </c>
    </row>
    <row r="21" spans="1:7" ht="15.75" customHeight="1">
      <c r="A21" s="59" t="s">
        <v>81</v>
      </c>
      <c r="B21" s="23">
        <v>14600000</v>
      </c>
      <c r="C21" s="6">
        <v>5237300</v>
      </c>
      <c r="D21" s="6">
        <f>148000+446000</f>
        <v>594000</v>
      </c>
      <c r="E21" s="6">
        <f t="shared" si="2"/>
        <v>5831300</v>
      </c>
      <c r="F21" s="16">
        <f t="shared" si="0"/>
        <v>0.3994041095890411</v>
      </c>
      <c r="G21" s="60">
        <f t="shared" si="1"/>
        <v>-8768700</v>
      </c>
    </row>
    <row r="22" spans="1:7" ht="15">
      <c r="A22" s="59" t="s">
        <v>14</v>
      </c>
      <c r="B22" s="23">
        <v>2616666835</v>
      </c>
      <c r="C22" s="6">
        <v>659230444.71</v>
      </c>
      <c r="D22" s="6">
        <v>298530574.51</v>
      </c>
      <c r="E22" s="6">
        <f t="shared" si="2"/>
        <v>957761019.22</v>
      </c>
      <c r="F22" s="16">
        <f t="shared" si="0"/>
        <v>0.36602329590041216</v>
      </c>
      <c r="G22" s="60">
        <f t="shared" si="1"/>
        <v>-1658905815.78</v>
      </c>
    </row>
    <row r="23" spans="1:7" ht="15">
      <c r="A23" s="59" t="s">
        <v>15</v>
      </c>
      <c r="B23" s="23">
        <v>9600000</v>
      </c>
      <c r="C23" s="6">
        <v>2880000</v>
      </c>
      <c r="D23" s="6">
        <v>0</v>
      </c>
      <c r="E23" s="6">
        <f t="shared" si="2"/>
        <v>2880000</v>
      </c>
      <c r="F23" s="16">
        <f t="shared" si="0"/>
        <v>0.3</v>
      </c>
      <c r="G23" s="60">
        <f t="shared" si="1"/>
        <v>-6720000</v>
      </c>
    </row>
    <row r="24" spans="1:7" ht="15">
      <c r="A24" s="59" t="s">
        <v>16</v>
      </c>
      <c r="B24" s="23">
        <v>1396060000</v>
      </c>
      <c r="C24" s="6">
        <v>386554800</v>
      </c>
      <c r="D24" s="6">
        <f>97884500+600000+68750000</f>
        <v>167234500</v>
      </c>
      <c r="E24" s="6">
        <f t="shared" si="2"/>
        <v>553789300</v>
      </c>
      <c r="F24" s="16">
        <f t="shared" si="0"/>
        <v>0.3966801570133089</v>
      </c>
      <c r="G24" s="60">
        <f t="shared" si="1"/>
        <v>-842270700</v>
      </c>
    </row>
    <row r="25" spans="1:7" ht="15">
      <c r="A25" s="58" t="s">
        <v>17</v>
      </c>
      <c r="B25" s="5">
        <f>SUM(B17:B24)</f>
        <v>5578992835</v>
      </c>
      <c r="C25" s="5">
        <f>SUM(C17:C24)</f>
        <v>1694167945.5500002</v>
      </c>
      <c r="D25" s="5">
        <f>SUM(D17:D24)</f>
        <v>522804499.51</v>
      </c>
      <c r="E25" s="5">
        <f t="shared" si="2"/>
        <v>2216972445.0600004</v>
      </c>
      <c r="F25" s="20">
        <f t="shared" si="0"/>
        <v>0.39737861485531023</v>
      </c>
      <c r="G25" s="62">
        <f t="shared" si="1"/>
        <v>-3362020389.9399996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0</v>
      </c>
      <c r="D28" s="6">
        <v>400000</v>
      </c>
      <c r="E28" s="6">
        <f>C28+D28</f>
        <v>400000</v>
      </c>
      <c r="F28" s="16">
        <f>E28/B28*100%</f>
        <v>0.13333333333333333</v>
      </c>
      <c r="G28" s="60">
        <f>E28-B28</f>
        <v>-2600000</v>
      </c>
    </row>
    <row r="29" spans="1:7" ht="15">
      <c r="A29" s="58" t="s">
        <v>19</v>
      </c>
      <c r="B29" s="5">
        <f>SUM(B28)</f>
        <v>3000000</v>
      </c>
      <c r="C29" s="5">
        <f>SUM(C28)</f>
        <v>0</v>
      </c>
      <c r="D29" s="5">
        <f>SUM(D28)</f>
        <v>400000</v>
      </c>
      <c r="E29" s="5">
        <f>C29+D29</f>
        <v>400000</v>
      </c>
      <c r="F29" s="20">
        <f>E29/B29*100%</f>
        <v>0.13333333333333333</v>
      </c>
      <c r="G29" s="62">
        <f>E29-B29</f>
        <v>-2600000</v>
      </c>
    </row>
    <row r="30" spans="1:7" ht="15">
      <c r="A30" s="58" t="s">
        <v>20</v>
      </c>
      <c r="B30" s="5">
        <f>B13+B25+B29</f>
        <v>5672592835</v>
      </c>
      <c r="C30" s="5">
        <f>C29+C25+C13</f>
        <v>1695367945.5500002</v>
      </c>
      <c r="D30" s="5">
        <f>D29+D25+D13</f>
        <v>523204499.51</v>
      </c>
      <c r="E30" s="5">
        <f>E29+E25+E13</f>
        <v>2218572445.0600004</v>
      </c>
      <c r="F30" s="20">
        <f>E30/B30*100%</f>
        <v>0.3911037702849689</v>
      </c>
      <c r="G30" s="62">
        <f>E30-B30</f>
        <v>-3454020389.9399996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74790000</v>
      </c>
      <c r="D35" s="6">
        <v>6038000</v>
      </c>
      <c r="E35" s="6">
        <f>C35+D35</f>
        <v>80828000</v>
      </c>
      <c r="F35" s="16">
        <f>E35/B35*100%</f>
        <v>0.315487900078064</v>
      </c>
      <c r="G35" s="60">
        <f>E35-B35</f>
        <v>-175372000</v>
      </c>
    </row>
    <row r="36" spans="1:9" ht="15">
      <c r="A36" s="59" t="s">
        <v>24</v>
      </c>
      <c r="B36" s="23">
        <v>39600000</v>
      </c>
      <c r="C36" s="6">
        <v>1012300</v>
      </c>
      <c r="D36" s="6">
        <v>405400</v>
      </c>
      <c r="E36" s="6">
        <f>C36+D36</f>
        <v>1417700</v>
      </c>
      <c r="F36" s="16">
        <f>E36/B36*100%</f>
        <v>0.03580050505050505</v>
      </c>
      <c r="G36" s="60">
        <f>E36-B36</f>
        <v>-38182300</v>
      </c>
      <c r="I36" s="113"/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28213400</v>
      </c>
      <c r="D38" s="6">
        <v>12500000</v>
      </c>
      <c r="E38" s="6">
        <f>C38+D38</f>
        <v>40713400</v>
      </c>
      <c r="F38" s="16">
        <f>E38/B38*100%</f>
        <v>0.19500902877232645</v>
      </c>
      <c r="G38" s="60">
        <f>E38-B38</f>
        <v>-168063600</v>
      </c>
    </row>
    <row r="39" spans="1:7" ht="15">
      <c r="A39" s="58" t="s">
        <v>26</v>
      </c>
      <c r="B39" s="5">
        <f>SUM(B35:B38)</f>
        <v>512577000</v>
      </c>
      <c r="C39" s="5">
        <f>SUM(C35:C38)</f>
        <v>104015700</v>
      </c>
      <c r="D39" s="5">
        <f>SUM(D35:D38)</f>
        <v>18943400</v>
      </c>
      <c r="E39" s="5">
        <f>SUM(E35:E38)</f>
        <v>122959100</v>
      </c>
      <c r="F39" s="20">
        <f>E39/B39*100%</f>
        <v>0.2398841539905224</v>
      </c>
      <c r="G39" s="62">
        <f>E39-B39</f>
        <v>-389617900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203837000</v>
      </c>
      <c r="D42" s="36">
        <v>105670000</v>
      </c>
      <c r="E42" s="6">
        <f>C42+D42</f>
        <v>309507000</v>
      </c>
      <c r="F42" s="16">
        <f>E42/B42*100%</f>
        <v>0.5947368421052631</v>
      </c>
      <c r="G42" s="60">
        <f>E42-B42</f>
        <v>-210903000</v>
      </c>
    </row>
    <row r="43" spans="1:7" ht="15">
      <c r="A43" s="58" t="s">
        <v>29</v>
      </c>
      <c r="B43" s="5">
        <f>SUM(B42)</f>
        <v>520410000</v>
      </c>
      <c r="C43" s="5">
        <f>SUM(C42)</f>
        <v>203837000</v>
      </c>
      <c r="D43" s="5">
        <f>SUM(D42)</f>
        <v>105670000</v>
      </c>
      <c r="E43" s="5">
        <f>SUM(E42)</f>
        <v>309507000</v>
      </c>
      <c r="F43" s="20">
        <f>E43/B43*100%</f>
        <v>0.5947368421052631</v>
      </c>
      <c r="G43" s="62">
        <f>E43-B43</f>
        <v>-210903000</v>
      </c>
    </row>
    <row r="44" spans="1:9" ht="15">
      <c r="A44" s="59"/>
      <c r="B44" s="6"/>
      <c r="C44" s="6"/>
      <c r="D44" s="6"/>
      <c r="E44" s="6"/>
      <c r="F44" s="16"/>
      <c r="G44" s="60"/>
      <c r="I44" s="120"/>
    </row>
    <row r="45" spans="1:7" ht="15">
      <c r="A45" s="58" t="s">
        <v>30</v>
      </c>
      <c r="B45" s="12"/>
      <c r="C45" s="12"/>
      <c r="D45" s="12"/>
      <c r="E45" s="86"/>
      <c r="F45" s="16"/>
      <c r="G45" s="60"/>
    </row>
    <row r="46" spans="1:7" ht="15">
      <c r="A46" s="59" t="s">
        <v>31</v>
      </c>
      <c r="B46" s="23">
        <v>147700000</v>
      </c>
      <c r="C46" s="6">
        <v>54350000</v>
      </c>
      <c r="D46" s="6">
        <v>12500000</v>
      </c>
      <c r="E46" s="6">
        <f>C46+D46</f>
        <v>66850000</v>
      </c>
      <c r="F46" s="20">
        <f>E46/B46*100%</f>
        <v>0.45260663507109006</v>
      </c>
      <c r="G46" s="62">
        <f>E46-B46</f>
        <v>-80850000</v>
      </c>
    </row>
    <row r="47" spans="1:7" ht="15.75">
      <c r="A47" s="61" t="s">
        <v>83</v>
      </c>
      <c r="B47" s="23">
        <v>12000000</v>
      </c>
      <c r="C47" s="6">
        <v>7300000</v>
      </c>
      <c r="D47" s="6">
        <v>1550000</v>
      </c>
      <c r="E47" s="6">
        <f>C47+D47</f>
        <v>8850000</v>
      </c>
      <c r="F47" s="20">
        <f>E47/B47*100%</f>
        <v>0.7375</v>
      </c>
      <c r="G47" s="62">
        <f>E47-B47</f>
        <v>-3150000</v>
      </c>
    </row>
    <row r="48" spans="1:7" ht="15">
      <c r="A48" s="58" t="s">
        <v>32</v>
      </c>
      <c r="B48" s="5">
        <f>SUM(B46:B47)</f>
        <v>159700000</v>
      </c>
      <c r="C48" s="5">
        <f>SUM(C46:C47)</f>
        <v>61650000</v>
      </c>
      <c r="D48" s="5">
        <f>SUM(D46:D47)</f>
        <v>14050000</v>
      </c>
      <c r="E48" s="5">
        <f>SUM(E46:E47)</f>
        <v>75700000</v>
      </c>
      <c r="F48" s="20">
        <f>E48/B48*100%</f>
        <v>0.47401377582968063</v>
      </c>
      <c r="G48" s="62">
        <f>E48-B48</f>
        <v>-84000000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3450000</v>
      </c>
      <c r="D51" s="6">
        <v>0</v>
      </c>
      <c r="E51" s="6">
        <f>C51+D51</f>
        <v>3450000</v>
      </c>
      <c r="F51" s="16">
        <f>E51/B51*100%</f>
        <v>0.23</v>
      </c>
      <c r="G51" s="60">
        <f>E51-B51</f>
        <v>-11550000</v>
      </c>
    </row>
    <row r="52" spans="1:9" ht="15">
      <c r="A52" s="59" t="s">
        <v>35</v>
      </c>
      <c r="B52" s="23">
        <v>40000000</v>
      </c>
      <c r="C52" s="6">
        <v>13710000</v>
      </c>
      <c r="D52" s="6">
        <f>4550000+9140000</f>
        <v>13690000</v>
      </c>
      <c r="E52" s="6">
        <f>C52+D52</f>
        <v>27400000</v>
      </c>
      <c r="F52" s="16">
        <f>E52/B52*100%</f>
        <v>0.685</v>
      </c>
      <c r="G52" s="60">
        <f>E52-B52</f>
        <v>-12600000</v>
      </c>
      <c r="I52" s="120"/>
    </row>
    <row r="53" spans="1:9" ht="15">
      <c r="A53" s="58" t="s">
        <v>36</v>
      </c>
      <c r="B53" s="5">
        <f>SUM(B51:B52)</f>
        <v>55000000</v>
      </c>
      <c r="C53" s="5">
        <f>SUM(C51:C52)</f>
        <v>17160000</v>
      </c>
      <c r="D53" s="5">
        <f>SUM(D51:D52)</f>
        <v>13690000</v>
      </c>
      <c r="E53" s="5">
        <f>SUM(E51:E52)</f>
        <v>30850000</v>
      </c>
      <c r="F53" s="20">
        <f>E53/B53*100%</f>
        <v>0.5609090909090909</v>
      </c>
      <c r="G53" s="62">
        <f>E53-B53</f>
        <v>-24150000</v>
      </c>
      <c r="I53" s="88"/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9" ht="15">
      <c r="A55" s="58" t="s">
        <v>84</v>
      </c>
      <c r="B55" s="5"/>
      <c r="C55" s="5"/>
      <c r="D55" s="5"/>
      <c r="E55" s="5"/>
      <c r="F55" s="16"/>
      <c r="G55" s="60"/>
      <c r="I55" s="120"/>
    </row>
    <row r="56" spans="1:9" ht="15.75">
      <c r="A56" s="61" t="s">
        <v>85</v>
      </c>
      <c r="B56" s="23">
        <v>8100000</v>
      </c>
      <c r="C56" s="6">
        <v>1320000</v>
      </c>
      <c r="D56" s="6">
        <v>330000</v>
      </c>
      <c r="E56" s="6">
        <f>C56+D56</f>
        <v>1650000</v>
      </c>
      <c r="F56" s="16">
        <f>E56/B56*100%</f>
        <v>0.2037037037037037</v>
      </c>
      <c r="G56" s="60">
        <f>E56-B56</f>
        <v>-6450000</v>
      </c>
      <c r="I56" s="88"/>
    </row>
    <row r="57" spans="1:7" ht="15.75">
      <c r="A57" s="63" t="s">
        <v>86</v>
      </c>
      <c r="B57" s="24">
        <f>SUM(B56)</f>
        <v>8100000</v>
      </c>
      <c r="C57" s="37">
        <f>SUM(C56)</f>
        <v>1320000</v>
      </c>
      <c r="D57" s="37">
        <f>SUM(D56)</f>
        <v>330000</v>
      </c>
      <c r="E57" s="37">
        <f>SUM(E56)</f>
        <v>1650000</v>
      </c>
      <c r="F57" s="20">
        <f>E57/B57*100%</f>
        <v>0.2037037037037037</v>
      </c>
      <c r="G57" s="60">
        <f>E57-B57</f>
        <v>-6450000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9" ht="26.25">
      <c r="A59" s="64" t="s">
        <v>37</v>
      </c>
      <c r="B59" s="5">
        <f>B39+B43+B48+B53+B57</f>
        <v>1255787000</v>
      </c>
      <c r="C59" s="5">
        <f>C53+C48+C43+C39+C57</f>
        <v>387982700</v>
      </c>
      <c r="D59" s="5">
        <f>D53+D48+D43+D39+D57</f>
        <v>152683400</v>
      </c>
      <c r="E59" s="5">
        <f>E53+E48+E43+E39+E57</f>
        <v>540666100</v>
      </c>
      <c r="F59" s="20">
        <f>E59/B59*100%</f>
        <v>0.43053965361960267</v>
      </c>
      <c r="G59" s="62">
        <f>E59-B59</f>
        <v>-715120900</v>
      </c>
      <c r="I59" s="88"/>
    </row>
    <row r="60" spans="1:9" ht="15">
      <c r="A60" s="64"/>
      <c r="B60" s="5"/>
      <c r="C60" s="5"/>
      <c r="D60" s="5"/>
      <c r="E60" s="5"/>
      <c r="F60" s="20"/>
      <c r="G60" s="62"/>
      <c r="I60" s="119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41315400</v>
      </c>
      <c r="D64" s="6">
        <f>32876800+1611588.08</f>
        <v>34488388.08</v>
      </c>
      <c r="E64" s="6">
        <f>C64+D64</f>
        <v>75803788.08</v>
      </c>
      <c r="F64" s="16">
        <f aca="true" t="shared" si="3" ref="F64:F69">E64/B64*100%</f>
        <v>0.11661403618238877</v>
      </c>
      <c r="G64" s="60">
        <f aca="true" t="shared" si="4" ref="G64:G69">E64-B64</f>
        <v>-574236211.92</v>
      </c>
    </row>
    <row r="65" spans="1:7" ht="15">
      <c r="A65" s="59" t="s">
        <v>41</v>
      </c>
      <c r="B65" s="23">
        <v>192000000</v>
      </c>
      <c r="C65" s="6">
        <v>97200000</v>
      </c>
      <c r="D65" s="6">
        <v>16300000</v>
      </c>
      <c r="E65" s="6">
        <f>C65+D65</f>
        <v>113500000</v>
      </c>
      <c r="F65" s="16">
        <f t="shared" si="3"/>
        <v>0.5911458333333334</v>
      </c>
      <c r="G65" s="60">
        <f t="shared" si="4"/>
        <v>-78500000</v>
      </c>
    </row>
    <row r="66" spans="1:7" ht="15">
      <c r="A66" s="59" t="s">
        <v>42</v>
      </c>
      <c r="B66" s="23">
        <v>589200000</v>
      </c>
      <c r="C66" s="6">
        <v>223535000</v>
      </c>
      <c r="D66" s="6">
        <v>43390000</v>
      </c>
      <c r="E66" s="6">
        <f>C66+D66</f>
        <v>266925000</v>
      </c>
      <c r="F66" s="16">
        <f t="shared" si="3"/>
        <v>0.4530295315682281</v>
      </c>
      <c r="G66" s="60">
        <f t="shared" si="4"/>
        <v>-322275000</v>
      </c>
    </row>
    <row r="67" spans="1:7" ht="15">
      <c r="A67" s="59" t="s">
        <v>43</v>
      </c>
      <c r="B67" s="23">
        <v>20400000</v>
      </c>
      <c r="C67" s="6">
        <v>8438500</v>
      </c>
      <c r="D67" s="6">
        <v>740000</v>
      </c>
      <c r="E67" s="6">
        <f>C67+D67</f>
        <v>9178500</v>
      </c>
      <c r="F67" s="16">
        <f t="shared" si="3"/>
        <v>0.4499264705882353</v>
      </c>
      <c r="G67" s="60">
        <f t="shared" si="4"/>
        <v>-11221500</v>
      </c>
    </row>
    <row r="68" spans="1:7" ht="15.75">
      <c r="A68" s="61" t="s">
        <v>87</v>
      </c>
      <c r="B68" s="23">
        <v>10800000</v>
      </c>
      <c r="C68" s="6">
        <v>5000000</v>
      </c>
      <c r="D68" s="6">
        <v>1250000</v>
      </c>
      <c r="E68" s="6">
        <f>C68+D68</f>
        <v>6250000</v>
      </c>
      <c r="F68" s="16">
        <f t="shared" si="3"/>
        <v>0.5787037037037037</v>
      </c>
      <c r="G68" s="60">
        <f t="shared" si="4"/>
        <v>-4550000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375488900</v>
      </c>
      <c r="D69" s="5">
        <f>SUM(D64:D68)</f>
        <v>96168388.08</v>
      </c>
      <c r="E69" s="5">
        <f>SUM(E64:E68)</f>
        <v>471657288.08</v>
      </c>
      <c r="F69" s="20">
        <f t="shared" si="3"/>
        <v>0.3225139411394655</v>
      </c>
      <c r="G69" s="62">
        <f t="shared" si="4"/>
        <v>-990782711.9200001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300000000</v>
      </c>
      <c r="D74" s="6">
        <v>0</v>
      </c>
      <c r="E74" s="6">
        <f>C74+D74</f>
        <v>300000000</v>
      </c>
      <c r="F74" s="16">
        <f>E74/B74*100%</f>
        <v>0.649048371227716</v>
      </c>
      <c r="G74" s="60">
        <f>E74-B74</f>
        <v>-162215165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300000000</v>
      </c>
      <c r="D76" s="5">
        <f>SUM(D74:D75)</f>
        <v>0</v>
      </c>
      <c r="E76" s="5">
        <f>SUM(E74:E75)</f>
        <v>300000000</v>
      </c>
      <c r="F76" s="20">
        <f>E76/B76*100%</f>
        <v>0.35451976330393464</v>
      </c>
      <c r="G76" s="62">
        <f>E76-B76</f>
        <v>-546215165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7" ht="15">
      <c r="A79" s="59" t="s">
        <v>50</v>
      </c>
      <c r="B79" s="7">
        <v>2172844000</v>
      </c>
      <c r="C79" s="30">
        <v>72318023</v>
      </c>
      <c r="D79" s="30">
        <v>21807624</v>
      </c>
      <c r="E79" s="31">
        <f>C79+D79</f>
        <v>94125647</v>
      </c>
      <c r="F79" s="16">
        <f>E79/B79*100%</f>
        <v>0.04331910022072454</v>
      </c>
      <c r="G79" s="60">
        <f>E79-B79</f>
        <v>-2078718353</v>
      </c>
    </row>
    <row r="80" spans="1:7" ht="15">
      <c r="A80" s="64" t="s">
        <v>94</v>
      </c>
      <c r="B80" s="25">
        <f>B79</f>
        <v>2172844000</v>
      </c>
      <c r="C80" s="25">
        <f>C79</f>
        <v>72318023</v>
      </c>
      <c r="D80" s="118">
        <f>D79</f>
        <v>21807624</v>
      </c>
      <c r="E80" s="25">
        <f>E79</f>
        <v>94125647</v>
      </c>
      <c r="F80" s="20">
        <f>E80/B80*100%</f>
        <v>0.04331910022072454</v>
      </c>
      <c r="G80" s="62">
        <f>E80-B80</f>
        <v>-2078718353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372318023</v>
      </c>
      <c r="D82" s="32">
        <f>D80+D76</f>
        <v>21807624</v>
      </c>
      <c r="E82" s="32">
        <f>E80+E76</f>
        <v>394125647</v>
      </c>
      <c r="F82" s="20">
        <f>E82/B82*100%</f>
        <v>0.1305458506971658</v>
      </c>
      <c r="G82" s="62">
        <f>E82-B82</f>
        <v>-2624933518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747806923</v>
      </c>
      <c r="D84" s="32">
        <f>D82+D69</f>
        <v>117976012.08</v>
      </c>
      <c r="E84" s="32">
        <f>E82+E69</f>
        <v>865782935.0799999</v>
      </c>
      <c r="F84" s="20">
        <f>E84/B84*100%</f>
        <v>0.19319047113556695</v>
      </c>
      <c r="G84" s="62">
        <f>E84-B84</f>
        <v>-3615716229.92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2831157568.55</v>
      </c>
      <c r="D86" s="32">
        <f>D84+D59+D30</f>
        <v>793863911.5899999</v>
      </c>
      <c r="E86" s="32">
        <f>E84+E59+E30</f>
        <v>3625021480.1400003</v>
      </c>
      <c r="F86" s="20">
        <f>E86/B86*100%</f>
        <v>0.3177090204146775</v>
      </c>
      <c r="G86" s="62">
        <f>E86-B86</f>
        <v>-7784857519.86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07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v>582263000</v>
      </c>
      <c r="D91" s="40">
        <v>0</v>
      </c>
      <c r="E91" s="40">
        <f>C91+D91</f>
        <v>582263000</v>
      </c>
      <c r="F91" s="16">
        <f>E91/B91*100%</f>
        <v>0.8170839349939869</v>
      </c>
      <c r="G91" s="60">
        <f>E91-B91</f>
        <v>-130348000</v>
      </c>
    </row>
    <row r="92" spans="1:9" ht="15">
      <c r="A92" s="59" t="s">
        <v>57</v>
      </c>
      <c r="B92" s="6">
        <v>333315000</v>
      </c>
      <c r="C92" s="40">
        <f>11126000+26223000+6400000</f>
        <v>43749000</v>
      </c>
      <c r="D92" s="40">
        <v>0</v>
      </c>
      <c r="E92" s="40">
        <f aca="true" t="shared" si="5" ref="E92:E97">C92+D92</f>
        <v>43749000</v>
      </c>
      <c r="F92" s="16">
        <f aca="true" t="shared" si="6" ref="F92:F98">E92/B92*100%</f>
        <v>0.131254218982044</v>
      </c>
      <c r="G92" s="60">
        <f aca="true" t="shared" si="7" ref="G92:G98">E92-B92</f>
        <v>-289566000</v>
      </c>
      <c r="I92" s="121"/>
    </row>
    <row r="93" spans="1:9" ht="15">
      <c r="A93" s="59" t="s">
        <v>58</v>
      </c>
      <c r="B93" s="17">
        <v>1099360000</v>
      </c>
      <c r="C93" s="40">
        <f>7220000+22654000+19794000+14793000+10727000</f>
        <v>75188000</v>
      </c>
      <c r="D93" s="40">
        <v>0</v>
      </c>
      <c r="E93" s="40">
        <f t="shared" si="5"/>
        <v>75188000</v>
      </c>
      <c r="F93" s="16">
        <f t="shared" si="6"/>
        <v>0.06839251928394702</v>
      </c>
      <c r="G93" s="60">
        <f t="shared" si="7"/>
        <v>-1024172000</v>
      </c>
      <c r="I93" s="87"/>
    </row>
    <row r="94" spans="1:9" ht="15">
      <c r="A94" s="59" t="s">
        <v>59</v>
      </c>
      <c r="B94" s="17">
        <v>1647264000</v>
      </c>
      <c r="C94" s="40">
        <f>78415000+9231000+9231000+26297000+33039000+78415000</f>
        <v>234628000</v>
      </c>
      <c r="D94" s="40">
        <v>326737000</v>
      </c>
      <c r="E94" s="40">
        <f t="shared" si="5"/>
        <v>561365000</v>
      </c>
      <c r="F94" s="16">
        <f t="shared" si="6"/>
        <v>0.34078629776404995</v>
      </c>
      <c r="G94" s="60">
        <f t="shared" si="7"/>
        <v>-1085899000</v>
      </c>
      <c r="I94" s="87"/>
    </row>
    <row r="95" spans="1:9" ht="15">
      <c r="A95" s="59" t="s">
        <v>60</v>
      </c>
      <c r="B95" s="17">
        <f>24982000+5421000</f>
        <v>30403000</v>
      </c>
      <c r="C95" s="40">
        <v>904000</v>
      </c>
      <c r="D95" s="40">
        <v>0</v>
      </c>
      <c r="E95" s="40">
        <f t="shared" si="5"/>
        <v>904000</v>
      </c>
      <c r="F95" s="16">
        <f t="shared" si="6"/>
        <v>0.0297339078380423</v>
      </c>
      <c r="G95" s="60">
        <f t="shared" si="7"/>
        <v>-29499000</v>
      </c>
      <c r="I95" s="122"/>
    </row>
    <row r="96" spans="1:7" ht="15">
      <c r="A96" s="59" t="s">
        <v>61</v>
      </c>
      <c r="B96" s="17">
        <v>27938000</v>
      </c>
      <c r="C96" s="40">
        <v>1164000</v>
      </c>
      <c r="D96" s="40">
        <v>0</v>
      </c>
      <c r="E96" s="40">
        <f t="shared" si="5"/>
        <v>1164000</v>
      </c>
      <c r="F96" s="16">
        <f t="shared" si="6"/>
        <v>0.041663683871429595</v>
      </c>
      <c r="G96" s="60">
        <f t="shared" si="7"/>
        <v>-26774000</v>
      </c>
    </row>
    <row r="97" spans="1:7" ht="15">
      <c r="A97" s="59" t="s">
        <v>62</v>
      </c>
      <c r="B97" s="17">
        <v>17132000</v>
      </c>
      <c r="C97" s="40">
        <v>714000</v>
      </c>
      <c r="D97" s="40">
        <v>0</v>
      </c>
      <c r="E97" s="40">
        <f t="shared" si="5"/>
        <v>714000</v>
      </c>
      <c r="F97" s="16">
        <f t="shared" si="6"/>
        <v>0.04167639505019846</v>
      </c>
      <c r="G97" s="60">
        <f t="shared" si="7"/>
        <v>-16418000</v>
      </c>
    </row>
    <row r="98" spans="1:7" ht="15">
      <c r="A98" s="65" t="s">
        <v>63</v>
      </c>
      <c r="B98" s="41">
        <f>SUM(B91:B97)</f>
        <v>3868023000</v>
      </c>
      <c r="C98" s="42">
        <f>SUM(C91:C97)</f>
        <v>938610000</v>
      </c>
      <c r="D98" s="42">
        <f>SUM(D91:D97)</f>
        <v>326737000</v>
      </c>
      <c r="E98" s="42">
        <f>SUM(E91:E97)</f>
        <v>1265347000</v>
      </c>
      <c r="F98" s="43">
        <f t="shared" si="6"/>
        <v>0.32713016442766757</v>
      </c>
      <c r="G98" s="66">
        <f t="shared" si="7"/>
        <v>-2602676000</v>
      </c>
    </row>
    <row r="99" spans="1:7" ht="15">
      <c r="A99" s="58"/>
      <c r="B99" s="5"/>
      <c r="C99" s="32"/>
      <c r="D99" s="32"/>
      <c r="E99" s="32"/>
      <c r="F99" s="20"/>
      <c r="G99" s="62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85">
        <v>9561801242.99</v>
      </c>
      <c r="D101" s="116">
        <v>3187267080.9966664</v>
      </c>
      <c r="E101" s="31">
        <f>C101+D101</f>
        <v>12749068323.986666</v>
      </c>
      <c r="F101" s="16">
        <f>E101/B101*100%</f>
        <v>0.3298640396147969</v>
      </c>
      <c r="G101" s="60">
        <f>E101-B101</f>
        <v>-25900395676.013336</v>
      </c>
    </row>
    <row r="102" spans="1:7" ht="15">
      <c r="A102" s="58" t="s">
        <v>66</v>
      </c>
      <c r="B102" s="5">
        <f>SUM(B101)</f>
        <v>38649464000</v>
      </c>
      <c r="C102" s="32">
        <f>SUM(C101)</f>
        <v>9561801242.99</v>
      </c>
      <c r="D102" s="32">
        <f>SUM(D101)</f>
        <v>3187267080.9966664</v>
      </c>
      <c r="E102" s="32">
        <f>SUM(E101)</f>
        <v>12749068323.986666</v>
      </c>
      <c r="F102" s="20">
        <f>E102/B102*100%</f>
        <v>0.3298640396147969</v>
      </c>
      <c r="G102" s="62">
        <f>E102-B102</f>
        <v>-25900395676.013336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10500411242.99</v>
      </c>
      <c r="D104" s="32">
        <f>D102+D98</f>
        <v>3514004080.9966664</v>
      </c>
      <c r="E104" s="32">
        <f>E102+E98</f>
        <v>14014415323.986666</v>
      </c>
      <c r="F104" s="20">
        <f>E104/B104*100%</f>
        <v>0.3296153256655706</v>
      </c>
      <c r="G104" s="62">
        <f>E104-B104</f>
        <v>-28503071676.013336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8" ref="F108:F118">E108/B108*100%</f>
        <v>0</v>
      </c>
      <c r="G108" s="60">
        <f aca="true" t="shared" si="9" ref="G108:G118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0</v>
      </c>
      <c r="E109" s="31">
        <f aca="true" t="shared" si="10" ref="E109:E116">C109+D109</f>
        <v>0</v>
      </c>
      <c r="F109" s="16">
        <f t="shared" si="8"/>
        <v>0</v>
      </c>
      <c r="G109" s="60">
        <f t="shared" si="9"/>
        <v>-434189000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10"/>
        <v>0</v>
      </c>
      <c r="F110" s="16">
        <f t="shared" si="8"/>
        <v>0</v>
      </c>
      <c r="G110" s="60">
        <f t="shared" si="9"/>
        <v>-18838000</v>
      </c>
    </row>
    <row r="111" spans="1:7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-1646097000</v>
      </c>
    </row>
    <row r="112" spans="1:7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-1151698000</v>
      </c>
    </row>
    <row r="113" spans="1:7" ht="15">
      <c r="A113" s="59" t="s">
        <v>73</v>
      </c>
      <c r="B113" s="6">
        <v>85819000</v>
      </c>
      <c r="C113" s="31">
        <v>0</v>
      </c>
      <c r="D113" s="31">
        <v>0</v>
      </c>
      <c r="E113" s="31">
        <f t="shared" si="10"/>
        <v>0</v>
      </c>
      <c r="F113" s="16">
        <f t="shared" si="8"/>
        <v>0</v>
      </c>
      <c r="G113" s="60">
        <f t="shared" si="9"/>
        <v>-85819000</v>
      </c>
    </row>
    <row r="114" spans="1:7" ht="15">
      <c r="A114" s="59" t="s">
        <v>104</v>
      </c>
      <c r="B114" s="6">
        <v>0</v>
      </c>
      <c r="C114" s="31">
        <v>825921000</v>
      </c>
      <c r="D114" s="31">
        <v>0</v>
      </c>
      <c r="E114" s="31">
        <f t="shared" si="10"/>
        <v>825921000</v>
      </c>
      <c r="F114" s="16">
        <v>1</v>
      </c>
      <c r="G114" s="60">
        <f t="shared" si="9"/>
        <v>825921000</v>
      </c>
    </row>
    <row r="115" spans="1:7" ht="15">
      <c r="A115" s="59" t="s">
        <v>110</v>
      </c>
      <c r="B115" s="6">
        <v>0</v>
      </c>
      <c r="C115" s="31">
        <v>38313923.62</v>
      </c>
      <c r="D115" s="31">
        <f>26556129.01+27680038.26+400000</f>
        <v>54636167.27</v>
      </c>
      <c r="E115" s="31">
        <f>C115+D115</f>
        <v>92950090.89</v>
      </c>
      <c r="F115" s="16">
        <v>1</v>
      </c>
      <c r="G115" s="60">
        <f>E115-B115</f>
        <v>92950090.89</v>
      </c>
    </row>
    <row r="116" spans="1:7" ht="15">
      <c r="A116" s="59" t="s">
        <v>74</v>
      </c>
      <c r="B116" s="6">
        <v>32713000</v>
      </c>
      <c r="C116" s="31">
        <v>0</v>
      </c>
      <c r="D116" s="31">
        <v>115625421</v>
      </c>
      <c r="E116" s="31">
        <f t="shared" si="10"/>
        <v>115625421</v>
      </c>
      <c r="F116" s="16">
        <f t="shared" si="8"/>
        <v>3.53454042735304</v>
      </c>
      <c r="G116" s="60">
        <f t="shared" si="9"/>
        <v>82912421</v>
      </c>
    </row>
    <row r="117" spans="1:7" ht="20.25" customHeight="1">
      <c r="A117" s="58" t="s">
        <v>75</v>
      </c>
      <c r="B117" s="5">
        <f>SUM(B108:B116)</f>
        <v>3379769000</v>
      </c>
      <c r="C117" s="32">
        <f>SUM(C108:C116)</f>
        <v>864234923.62</v>
      </c>
      <c r="D117" s="32">
        <f>SUM(D108:D116)</f>
        <v>170261588.27</v>
      </c>
      <c r="E117" s="32">
        <f>SUM(E108:E116)</f>
        <v>1034496511.89</v>
      </c>
      <c r="F117" s="20">
        <f t="shared" si="8"/>
        <v>0.3060849755974447</v>
      </c>
      <c r="G117" s="60">
        <f t="shared" si="9"/>
        <v>-2345272488.11</v>
      </c>
    </row>
    <row r="118" spans="1:7" ht="21" customHeight="1">
      <c r="A118" s="65" t="s">
        <v>76</v>
      </c>
      <c r="B118" s="41">
        <f>B117+B104</f>
        <v>45897256000</v>
      </c>
      <c r="C118" s="42">
        <f>C117+C104</f>
        <v>11364646166.61</v>
      </c>
      <c r="D118" s="42">
        <f>D117+D104</f>
        <v>3684265669.2666664</v>
      </c>
      <c r="E118" s="42">
        <f>E117+E104</f>
        <v>15048911835.876665</v>
      </c>
      <c r="F118" s="43">
        <f t="shared" si="8"/>
        <v>0.32788260448242623</v>
      </c>
      <c r="G118" s="66">
        <f t="shared" si="9"/>
        <v>-30848344164.123337</v>
      </c>
    </row>
    <row r="119" spans="1:7" ht="21" customHeight="1">
      <c r="A119" s="1"/>
      <c r="B119" s="5"/>
      <c r="C119" s="32"/>
      <c r="D119" s="32"/>
      <c r="E119" s="32"/>
      <c r="F119" s="20"/>
      <c r="G119" s="5"/>
    </row>
    <row r="120" spans="1:7" ht="20.25" customHeight="1">
      <c r="A120" s="93" t="s">
        <v>96</v>
      </c>
      <c r="B120" s="94"/>
      <c r="C120" s="92"/>
      <c r="D120" s="92"/>
      <c r="E120" s="92"/>
      <c r="F120" s="95"/>
      <c r="G120" s="96"/>
    </row>
    <row r="121" spans="1:7" ht="20.25" customHeight="1">
      <c r="A121" s="59" t="s">
        <v>95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17.25" customHeight="1">
      <c r="A122" s="59" t="s">
        <v>92</v>
      </c>
      <c r="B122" s="6">
        <v>0</v>
      </c>
      <c r="C122" s="31">
        <v>0</v>
      </c>
      <c r="D122" s="31">
        <v>0</v>
      </c>
      <c r="E122" s="31">
        <f>C122+D122</f>
        <v>0</v>
      </c>
      <c r="F122" s="16">
        <v>1</v>
      </c>
      <c r="G122" s="60">
        <f>E122-B122</f>
        <v>0</v>
      </c>
    </row>
    <row r="123" spans="1:7" ht="21" customHeight="1" thickBot="1">
      <c r="A123" s="90" t="s">
        <v>97</v>
      </c>
      <c r="B123" s="91">
        <f>SUM(B121:B122)</f>
        <v>0</v>
      </c>
      <c r="C123" s="91">
        <v>0</v>
      </c>
      <c r="D123" s="91">
        <f>SUM(D121:D122)</f>
        <v>0</v>
      </c>
      <c r="E123" s="32">
        <f>C123+D123</f>
        <v>0</v>
      </c>
      <c r="F123" s="20">
        <v>1</v>
      </c>
      <c r="G123" s="62">
        <f>E123-B123</f>
        <v>0</v>
      </c>
    </row>
    <row r="124" spans="1:7" ht="21" customHeight="1" thickBot="1">
      <c r="A124" s="90" t="s">
        <v>98</v>
      </c>
      <c r="B124" s="91">
        <f>B117+B123</f>
        <v>3379769000</v>
      </c>
      <c r="C124" s="91">
        <f>C117+C123</f>
        <v>864234923.62</v>
      </c>
      <c r="D124" s="91">
        <f>D117+D123</f>
        <v>170261588.27</v>
      </c>
      <c r="E124" s="91">
        <f>E117+E123</f>
        <v>1034496511.89</v>
      </c>
      <c r="F124" s="20">
        <f>E124/B124*100%</f>
        <v>0.3060849755974447</v>
      </c>
      <c r="G124" s="62">
        <f>E124-B124</f>
        <v>-2345272488.11</v>
      </c>
    </row>
    <row r="125" spans="1:7" ht="28.5" customHeight="1" thickBot="1">
      <c r="A125" s="49" t="s">
        <v>77</v>
      </c>
      <c r="B125" s="50">
        <f>B118+B86+B123</f>
        <v>57307135000</v>
      </c>
      <c r="C125" s="50">
        <f>C118+C86+C123</f>
        <v>14195803735.16</v>
      </c>
      <c r="D125" s="50">
        <f>D118+D86+D123</f>
        <v>4478129580.856667</v>
      </c>
      <c r="E125" s="50">
        <f>E118+E86+E123</f>
        <v>18673933316.016666</v>
      </c>
      <c r="F125" s="51">
        <f>E125/B125*100%</f>
        <v>0.3258570388489438</v>
      </c>
      <c r="G125" s="52">
        <f>E125-B125</f>
        <v>-38633201683.98334</v>
      </c>
    </row>
    <row r="126" spans="3:5" ht="15">
      <c r="C126" s="117"/>
      <c r="E126" s="113"/>
    </row>
    <row r="127" spans="2:4" ht="15">
      <c r="B127" s="113"/>
      <c r="D127" s="113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D46">
      <selection activeCell="D38" sqref="D38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114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112</v>
      </c>
      <c r="D7" s="112" t="s">
        <v>117</v>
      </c>
      <c r="E7" s="75" t="s">
        <v>118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2400000</v>
      </c>
      <c r="D11" s="6">
        <v>2100000</v>
      </c>
      <c r="E11" s="6">
        <f>C11+D11</f>
        <v>4500000</v>
      </c>
      <c r="F11" s="16">
        <f>E11/B11*100%</f>
        <v>0.07731958762886598</v>
      </c>
      <c r="G11" s="60">
        <f>E11-B11</f>
        <v>-53700000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f>SUM(C11:C12)</f>
        <v>2400000</v>
      </c>
      <c r="D13" s="5">
        <f>SUM(D11:D12)</f>
        <v>2100000</v>
      </c>
      <c r="E13" s="5">
        <f>SUM(E11:E12)</f>
        <v>4500000</v>
      </c>
      <c r="F13" s="20">
        <f>E13/B13*100%</f>
        <v>0.04966887417218543</v>
      </c>
      <c r="G13" s="62">
        <f>E13-B13</f>
        <v>-86100000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400000</v>
      </c>
      <c r="D17" s="6">
        <v>0</v>
      </c>
      <c r="E17" s="6">
        <f>C17+D17</f>
        <v>400000</v>
      </c>
      <c r="F17" s="16">
        <f aca="true" t="shared" si="0" ref="F17:F25">E17/B17*100%</f>
        <v>0.013333333333333334</v>
      </c>
      <c r="G17" s="60">
        <f aca="true" t="shared" si="1" ref="G17:G25">E17-B17</f>
        <v>-29600000</v>
      </c>
    </row>
    <row r="18" spans="1:7" ht="15">
      <c r="A18" s="59" t="s">
        <v>12</v>
      </c>
      <c r="B18" s="23">
        <v>10000000</v>
      </c>
      <c r="C18" s="6">
        <v>1640000</v>
      </c>
      <c r="D18" s="6">
        <v>676453</v>
      </c>
      <c r="E18" s="6">
        <f aca="true" t="shared" si="2" ref="E18:E25">C18+D18</f>
        <v>2316453</v>
      </c>
      <c r="F18" s="16">
        <f t="shared" si="0"/>
        <v>0.2316453</v>
      </c>
      <c r="G18" s="60">
        <f t="shared" si="1"/>
        <v>-7683547</v>
      </c>
    </row>
    <row r="19" spans="1:7" ht="15">
      <c r="A19" s="59" t="s">
        <v>13</v>
      </c>
      <c r="B19" s="23">
        <v>40156000</v>
      </c>
      <c r="C19" s="6">
        <v>18604000</v>
      </c>
      <c r="D19" s="6">
        <v>3301000</v>
      </c>
      <c r="E19" s="6">
        <f t="shared" si="2"/>
        <v>21905000</v>
      </c>
      <c r="F19" s="16">
        <f t="shared" si="0"/>
        <v>0.5454975595178803</v>
      </c>
      <c r="G19" s="60">
        <f t="shared" si="1"/>
        <v>-18251000</v>
      </c>
    </row>
    <row r="20" spans="1:7" ht="15">
      <c r="A20" s="59" t="s">
        <v>91</v>
      </c>
      <c r="B20" s="23">
        <v>1461910000</v>
      </c>
      <c r="C20" s="6">
        <v>676466825.84</v>
      </c>
      <c r="D20" s="6">
        <f>91817542.95+91000</f>
        <v>91908542.95</v>
      </c>
      <c r="E20" s="6">
        <f t="shared" si="2"/>
        <v>768375368.7900001</v>
      </c>
      <c r="F20" s="16">
        <f t="shared" si="0"/>
        <v>0.5255969032224966</v>
      </c>
      <c r="G20" s="60">
        <f t="shared" si="1"/>
        <v>-693534631.2099999</v>
      </c>
    </row>
    <row r="21" spans="1:7" ht="15.75" customHeight="1">
      <c r="A21" s="59" t="s">
        <v>81</v>
      </c>
      <c r="B21" s="23">
        <v>14600000</v>
      </c>
      <c r="C21" s="6">
        <v>5831300</v>
      </c>
      <c r="D21" s="6">
        <v>2496821.11</v>
      </c>
      <c r="E21" s="6">
        <f t="shared" si="2"/>
        <v>8328121.109999999</v>
      </c>
      <c r="F21" s="16">
        <f t="shared" si="0"/>
        <v>0.570419254109589</v>
      </c>
      <c r="G21" s="60">
        <f t="shared" si="1"/>
        <v>-6271878.890000001</v>
      </c>
    </row>
    <row r="22" spans="1:7" ht="15">
      <c r="A22" s="59" t="s">
        <v>14</v>
      </c>
      <c r="B22" s="23">
        <v>2616666835</v>
      </c>
      <c r="C22" s="6">
        <v>957761019.22</v>
      </c>
      <c r="D22" s="6">
        <f>149387862.17+27000000</f>
        <v>176387862.17</v>
      </c>
      <c r="E22" s="6">
        <f t="shared" si="2"/>
        <v>1134148881.39</v>
      </c>
      <c r="F22" s="16">
        <f t="shared" si="0"/>
        <v>0.4334326656415929</v>
      </c>
      <c r="G22" s="60">
        <f t="shared" si="1"/>
        <v>-1482517953.61</v>
      </c>
    </row>
    <row r="23" spans="1:7" ht="15">
      <c r="A23" s="59" t="s">
        <v>15</v>
      </c>
      <c r="B23" s="23">
        <v>9600000</v>
      </c>
      <c r="C23" s="6">
        <v>2880000</v>
      </c>
      <c r="D23" s="6">
        <f>800000+800000</f>
        <v>1600000</v>
      </c>
      <c r="E23" s="6">
        <f t="shared" si="2"/>
        <v>4480000</v>
      </c>
      <c r="F23" s="16">
        <f t="shared" si="0"/>
        <v>0.4666666666666667</v>
      </c>
      <c r="G23" s="60">
        <f t="shared" si="1"/>
        <v>-5120000</v>
      </c>
    </row>
    <row r="24" spans="1:9" ht="15">
      <c r="A24" s="59" t="s">
        <v>16</v>
      </c>
      <c r="B24" s="23">
        <v>1396060000</v>
      </c>
      <c r="C24" s="6">
        <v>552589300</v>
      </c>
      <c r="D24" s="6">
        <v>79279000</v>
      </c>
      <c r="E24" s="6">
        <f t="shared" si="2"/>
        <v>631868300</v>
      </c>
      <c r="F24" s="16">
        <f t="shared" si="0"/>
        <v>0.45260826898557366</v>
      </c>
      <c r="G24" s="60">
        <f t="shared" si="1"/>
        <v>-764191700</v>
      </c>
      <c r="I24" s="113"/>
    </row>
    <row r="25" spans="1:9" ht="15">
      <c r="A25" s="58" t="s">
        <v>17</v>
      </c>
      <c r="B25" s="5">
        <f>SUM(B17:B24)</f>
        <v>5578992835</v>
      </c>
      <c r="C25" s="5">
        <f>SUM(C17:C24)</f>
        <v>2216172445.06</v>
      </c>
      <c r="D25" s="5">
        <f>SUM(D17:D24)</f>
        <v>355649679.23</v>
      </c>
      <c r="E25" s="5">
        <f t="shared" si="2"/>
        <v>2571822124.29</v>
      </c>
      <c r="F25" s="20">
        <f t="shared" si="0"/>
        <v>0.460983227681453</v>
      </c>
      <c r="G25" s="62">
        <f t="shared" si="1"/>
        <v>-3007170710.71</v>
      </c>
      <c r="I25" s="113"/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400000</v>
      </c>
      <c r="D28" s="6">
        <v>0</v>
      </c>
      <c r="E28" s="6">
        <f>C28+D28</f>
        <v>400000</v>
      </c>
      <c r="F28" s="16">
        <f>E28/B28*100%</f>
        <v>0.13333333333333333</v>
      </c>
      <c r="G28" s="60">
        <f>E28-B28</f>
        <v>-2600000</v>
      </c>
    </row>
    <row r="29" spans="1:9" ht="15">
      <c r="A29" s="58" t="s">
        <v>19</v>
      </c>
      <c r="B29" s="5">
        <f>SUM(B28)</f>
        <v>3000000</v>
      </c>
      <c r="C29" s="5">
        <f>SUM(C28)</f>
        <v>400000</v>
      </c>
      <c r="D29" s="5">
        <f>SUM(D28)</f>
        <v>0</v>
      </c>
      <c r="E29" s="5">
        <f>C29+D29</f>
        <v>400000</v>
      </c>
      <c r="F29" s="20">
        <f>E29/B29*100%</f>
        <v>0.13333333333333333</v>
      </c>
      <c r="G29" s="62">
        <f>E29-B29</f>
        <v>-2600000</v>
      </c>
      <c r="I29" s="124"/>
    </row>
    <row r="30" spans="1:7" ht="15">
      <c r="A30" s="58" t="s">
        <v>20</v>
      </c>
      <c r="B30" s="5">
        <f>B13+B25+B29</f>
        <v>5672592835</v>
      </c>
      <c r="C30" s="5">
        <f>C29+C25+C13</f>
        <v>2218972445.06</v>
      </c>
      <c r="D30" s="5">
        <f>D29+D25+D13</f>
        <v>357749679.23</v>
      </c>
      <c r="E30" s="5">
        <f>E29+E25+E13</f>
        <v>2576722124.29</v>
      </c>
      <c r="F30" s="20">
        <f>E30/B30*100%</f>
        <v>0.45424062668337095</v>
      </c>
      <c r="G30" s="62">
        <f>E30-B30</f>
        <v>-3095870710.71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80828000</v>
      </c>
      <c r="D35" s="6">
        <v>9961700</v>
      </c>
      <c r="E35" s="6">
        <f>C35+D35</f>
        <v>90789700</v>
      </c>
      <c r="F35" s="16">
        <f>E35/B35*100%</f>
        <v>0.3543704137392662</v>
      </c>
      <c r="G35" s="60">
        <f>E35-B35</f>
        <v>-165410300</v>
      </c>
    </row>
    <row r="36" spans="1:9" ht="15">
      <c r="A36" s="59" t="s">
        <v>24</v>
      </c>
      <c r="B36" s="23">
        <v>39600000</v>
      </c>
      <c r="C36" s="6">
        <v>1417700</v>
      </c>
      <c r="D36" s="6">
        <v>874235</v>
      </c>
      <c r="E36" s="6">
        <f>C36+D36</f>
        <v>2291935</v>
      </c>
      <c r="F36" s="16">
        <f>E36/B36*100%</f>
        <v>0.057877146464646465</v>
      </c>
      <c r="G36" s="60">
        <f>E36-B36</f>
        <v>-37308065</v>
      </c>
      <c r="I36" s="113"/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40713400</v>
      </c>
      <c r="D38" s="6">
        <v>11305000</v>
      </c>
      <c r="E38" s="6">
        <f>C38+D38</f>
        <v>52018400</v>
      </c>
      <c r="F38" s="16">
        <f>E38/B38*100%</f>
        <v>0.24915771373283455</v>
      </c>
      <c r="G38" s="60">
        <f>E38-B38</f>
        <v>-156758600</v>
      </c>
    </row>
    <row r="39" spans="1:7" ht="15">
      <c r="A39" s="58" t="s">
        <v>26</v>
      </c>
      <c r="B39" s="5">
        <f>SUM(B35:B38)</f>
        <v>512577000</v>
      </c>
      <c r="C39" s="5">
        <f>SUM(C35:C38)</f>
        <v>122959100</v>
      </c>
      <c r="D39" s="5">
        <f>SUM(D35:D38)</f>
        <v>22140935</v>
      </c>
      <c r="E39" s="5">
        <f>SUM(E35:E38)</f>
        <v>145100035</v>
      </c>
      <c r="F39" s="20">
        <f>E39/B39*100%</f>
        <v>0.28307948854513565</v>
      </c>
      <c r="G39" s="62">
        <f>E39-B39</f>
        <v>-367476965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309507000</v>
      </c>
      <c r="D42" s="36">
        <v>78234000</v>
      </c>
      <c r="E42" s="6">
        <f>C42+D42</f>
        <v>387741000</v>
      </c>
      <c r="F42" s="16">
        <f>E42/B42*100%</f>
        <v>0.7450683115236064</v>
      </c>
      <c r="G42" s="60">
        <f>E42-B42</f>
        <v>-132669000</v>
      </c>
    </row>
    <row r="43" spans="1:7" ht="15">
      <c r="A43" s="58" t="s">
        <v>29</v>
      </c>
      <c r="B43" s="5">
        <f>SUM(B42)</f>
        <v>520410000</v>
      </c>
      <c r="C43" s="5">
        <f>SUM(C42)</f>
        <v>309507000</v>
      </c>
      <c r="D43" s="5">
        <f>SUM(D42)</f>
        <v>78234000</v>
      </c>
      <c r="E43" s="5">
        <f>SUM(E42)</f>
        <v>387741000</v>
      </c>
      <c r="F43" s="20">
        <f>E43/B43*100%</f>
        <v>0.7450683115236064</v>
      </c>
      <c r="G43" s="62">
        <f>E43-B43</f>
        <v>-132669000</v>
      </c>
    </row>
    <row r="44" spans="1:9" ht="15">
      <c r="A44" s="59"/>
      <c r="B44" s="6"/>
      <c r="C44" s="6"/>
      <c r="D44" s="6"/>
      <c r="E44" s="6"/>
      <c r="F44" s="16"/>
      <c r="G44" s="60"/>
      <c r="I44" s="120"/>
    </row>
    <row r="45" spans="1:7" ht="15">
      <c r="A45" s="58" t="s">
        <v>30</v>
      </c>
      <c r="B45" s="12"/>
      <c r="C45" s="12"/>
      <c r="D45" s="12"/>
      <c r="E45" s="86"/>
      <c r="F45" s="16"/>
      <c r="G45" s="60"/>
    </row>
    <row r="46" spans="1:7" ht="15">
      <c r="A46" s="59" t="s">
        <v>31</v>
      </c>
      <c r="B46" s="23">
        <v>147700000</v>
      </c>
      <c r="C46" s="6">
        <v>66850000</v>
      </c>
      <c r="D46" s="6">
        <v>12500000</v>
      </c>
      <c r="E46" s="6">
        <f>C46+D46</f>
        <v>79350000</v>
      </c>
      <c r="F46" s="20">
        <f>E46/B46*100%</f>
        <v>0.537237643872715</v>
      </c>
      <c r="G46" s="62">
        <f>E46-B46</f>
        <v>-68350000</v>
      </c>
    </row>
    <row r="47" spans="1:7" ht="15.75">
      <c r="A47" s="61" t="s">
        <v>83</v>
      </c>
      <c r="B47" s="23">
        <v>12000000</v>
      </c>
      <c r="C47" s="6">
        <v>8850000</v>
      </c>
      <c r="D47" s="6">
        <v>1550000</v>
      </c>
      <c r="E47" s="6">
        <f>C47+D47</f>
        <v>10400000</v>
      </c>
      <c r="F47" s="20">
        <f>E47/B47*100%</f>
        <v>0.8666666666666667</v>
      </c>
      <c r="G47" s="62">
        <f>E47-B47</f>
        <v>-1600000</v>
      </c>
    </row>
    <row r="48" spans="1:7" ht="15">
      <c r="A48" s="58" t="s">
        <v>32</v>
      </c>
      <c r="B48" s="5">
        <f>SUM(B46:B47)</f>
        <v>159700000</v>
      </c>
      <c r="C48" s="5">
        <f>SUM(C46:C47)</f>
        <v>75700000</v>
      </c>
      <c r="D48" s="5">
        <f>SUM(D46:D47)</f>
        <v>14050000</v>
      </c>
      <c r="E48" s="5">
        <f>SUM(E46:E47)</f>
        <v>89750000</v>
      </c>
      <c r="F48" s="20">
        <f>E48/B48*100%</f>
        <v>0.5619912335629305</v>
      </c>
      <c r="G48" s="62">
        <f>E48-B48</f>
        <v>-69950000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3450000</v>
      </c>
      <c r="D51" s="6">
        <v>0</v>
      </c>
      <c r="E51" s="6">
        <f>C51+D51</f>
        <v>3450000</v>
      </c>
      <c r="F51" s="16">
        <f>E51/B51*100%</f>
        <v>0.23</v>
      </c>
      <c r="G51" s="60">
        <f>E51-B51</f>
        <v>-11550000</v>
      </c>
    </row>
    <row r="52" spans="1:9" ht="15">
      <c r="A52" s="59" t="s">
        <v>35</v>
      </c>
      <c r="B52" s="23">
        <v>40000000</v>
      </c>
      <c r="C52" s="6">
        <v>27400000</v>
      </c>
      <c r="D52" s="6">
        <v>0</v>
      </c>
      <c r="E52" s="6">
        <f>C52+D52</f>
        <v>27400000</v>
      </c>
      <c r="F52" s="16">
        <f>E52/B52*100%</f>
        <v>0.685</v>
      </c>
      <c r="G52" s="60">
        <f>E52-B52</f>
        <v>-12600000</v>
      </c>
      <c r="I52" s="120"/>
    </row>
    <row r="53" spans="1:9" ht="15">
      <c r="A53" s="58" t="s">
        <v>36</v>
      </c>
      <c r="B53" s="5">
        <f>SUM(B51:B52)</f>
        <v>55000000</v>
      </c>
      <c r="C53" s="5">
        <f>SUM(C51:C52)</f>
        <v>30850000</v>
      </c>
      <c r="D53" s="5">
        <f>SUM(D51:D52)</f>
        <v>0</v>
      </c>
      <c r="E53" s="5">
        <f>SUM(E51:E52)</f>
        <v>30850000</v>
      </c>
      <c r="F53" s="20">
        <f>E53/B53*100%</f>
        <v>0.5609090909090909</v>
      </c>
      <c r="G53" s="62">
        <f>E53-B53</f>
        <v>-24150000</v>
      </c>
      <c r="I53" s="88"/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9" ht="15">
      <c r="A55" s="58" t="s">
        <v>84</v>
      </c>
      <c r="B55" s="5"/>
      <c r="C55" s="5"/>
      <c r="D55" s="5"/>
      <c r="E55" s="5"/>
      <c r="F55" s="16"/>
      <c r="G55" s="60"/>
      <c r="I55" s="120"/>
    </row>
    <row r="56" spans="1:9" ht="15.75">
      <c r="A56" s="61" t="s">
        <v>85</v>
      </c>
      <c r="B56" s="23">
        <v>8100000</v>
      </c>
      <c r="C56" s="6">
        <v>1650000</v>
      </c>
      <c r="D56" s="6">
        <v>1110000</v>
      </c>
      <c r="E56" s="6">
        <f>C56+D56</f>
        <v>2760000</v>
      </c>
      <c r="F56" s="16">
        <f>E56/B56*100%</f>
        <v>0.34074074074074073</v>
      </c>
      <c r="G56" s="60">
        <f>E56-B56</f>
        <v>-5340000</v>
      </c>
      <c r="I56" s="88"/>
    </row>
    <row r="57" spans="1:7" ht="15.75">
      <c r="A57" s="63" t="s">
        <v>86</v>
      </c>
      <c r="B57" s="24">
        <f>SUM(B56)</f>
        <v>8100000</v>
      </c>
      <c r="C57" s="37">
        <f>SUM(C56)</f>
        <v>1650000</v>
      </c>
      <c r="D57" s="37">
        <f>SUM(D56)</f>
        <v>1110000</v>
      </c>
      <c r="E57" s="37">
        <f>SUM(E56)</f>
        <v>2760000</v>
      </c>
      <c r="F57" s="20">
        <f>E57/B57*100%</f>
        <v>0.34074074074074073</v>
      </c>
      <c r="G57" s="60">
        <f>E57-B57</f>
        <v>-5340000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9" ht="26.25">
      <c r="A59" s="64" t="s">
        <v>37</v>
      </c>
      <c r="B59" s="5">
        <f>B39+B43+B48+B53+B57</f>
        <v>1255787000</v>
      </c>
      <c r="C59" s="5">
        <f>C53+C48+C43+C39+C57</f>
        <v>540666100</v>
      </c>
      <c r="D59" s="5">
        <f>D53+D48+D43+D39+D57</f>
        <v>115534935</v>
      </c>
      <c r="E59" s="5">
        <f>E53+E48+E43+E39+E57</f>
        <v>656201035</v>
      </c>
      <c r="F59" s="20">
        <f>E59/B59*100%</f>
        <v>0.5225416690887865</v>
      </c>
      <c r="G59" s="62">
        <f>E59-B59</f>
        <v>-599585965</v>
      </c>
      <c r="I59" s="88"/>
    </row>
    <row r="60" spans="1:9" ht="15">
      <c r="A60" s="64"/>
      <c r="B60" s="5"/>
      <c r="C60" s="5"/>
      <c r="D60" s="5"/>
      <c r="E60" s="5"/>
      <c r="F60" s="20"/>
      <c r="G60" s="62"/>
      <c r="I60" s="120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75803788.08</v>
      </c>
      <c r="D64" s="6">
        <v>24996600</v>
      </c>
      <c r="E64" s="6">
        <f>C64+D64</f>
        <v>100800388.08</v>
      </c>
      <c r="F64" s="16">
        <f aca="true" t="shared" si="3" ref="F64:F69">E64/B64*100%</f>
        <v>0.15506797747830903</v>
      </c>
      <c r="G64" s="60">
        <f aca="true" t="shared" si="4" ref="G64:G69">E64-B64</f>
        <v>-549239611.92</v>
      </c>
    </row>
    <row r="65" spans="1:7" ht="15">
      <c r="A65" s="59" t="s">
        <v>41</v>
      </c>
      <c r="B65" s="23">
        <v>192000000</v>
      </c>
      <c r="C65" s="6">
        <v>113500000</v>
      </c>
      <c r="D65" s="6">
        <v>16480000</v>
      </c>
      <c r="E65" s="6">
        <f>C65+D65</f>
        <v>129980000</v>
      </c>
      <c r="F65" s="16">
        <f t="shared" si="3"/>
        <v>0.6769791666666667</v>
      </c>
      <c r="G65" s="60">
        <f t="shared" si="4"/>
        <v>-62020000</v>
      </c>
    </row>
    <row r="66" spans="1:7" ht="15">
      <c r="A66" s="59" t="s">
        <v>42</v>
      </c>
      <c r="B66" s="23">
        <v>589200000</v>
      </c>
      <c r="C66" s="6">
        <v>266925000</v>
      </c>
      <c r="D66" s="6">
        <v>89300000</v>
      </c>
      <c r="E66" s="6">
        <f>C66+D66</f>
        <v>356225000</v>
      </c>
      <c r="F66" s="16">
        <f t="shared" si="3"/>
        <v>0.604590970807875</v>
      </c>
      <c r="G66" s="60">
        <f t="shared" si="4"/>
        <v>-232975000</v>
      </c>
    </row>
    <row r="67" spans="1:7" ht="15">
      <c r="A67" s="59" t="s">
        <v>43</v>
      </c>
      <c r="B67" s="23">
        <v>20400000</v>
      </c>
      <c r="C67" s="6">
        <v>9178500</v>
      </c>
      <c r="D67" s="6">
        <v>2313500</v>
      </c>
      <c r="E67" s="6">
        <f>C67+D67</f>
        <v>11492000</v>
      </c>
      <c r="F67" s="16">
        <f t="shared" si="3"/>
        <v>0.5633333333333334</v>
      </c>
      <c r="G67" s="60">
        <f t="shared" si="4"/>
        <v>-8908000</v>
      </c>
    </row>
    <row r="68" spans="1:7" ht="15.75">
      <c r="A68" s="61" t="s">
        <v>87</v>
      </c>
      <c r="B68" s="23">
        <v>10800000</v>
      </c>
      <c r="C68" s="6">
        <v>6250000</v>
      </c>
      <c r="D68" s="6">
        <v>2300000</v>
      </c>
      <c r="E68" s="6">
        <f>C68+D68</f>
        <v>8550000</v>
      </c>
      <c r="F68" s="16">
        <f t="shared" si="3"/>
        <v>0.7916666666666666</v>
      </c>
      <c r="G68" s="60">
        <f t="shared" si="4"/>
        <v>-2250000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471657288.08</v>
      </c>
      <c r="D69" s="5">
        <f>SUM(D64:D68)</f>
        <v>135390100</v>
      </c>
      <c r="E69" s="5">
        <f>SUM(E64:E68)</f>
        <v>607047388.0799999</v>
      </c>
      <c r="F69" s="20">
        <f t="shared" si="3"/>
        <v>0.41509216657093617</v>
      </c>
      <c r="G69" s="62">
        <f t="shared" si="4"/>
        <v>-855392611.9200001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300000000</v>
      </c>
      <c r="D74" s="6">
        <v>0</v>
      </c>
      <c r="E74" s="6">
        <f>C74+D74</f>
        <v>300000000</v>
      </c>
      <c r="F74" s="16">
        <f>E74/B74*100%</f>
        <v>0.649048371227716</v>
      </c>
      <c r="G74" s="60">
        <f>E74-B74</f>
        <v>-162215165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300000000</v>
      </c>
      <c r="D76" s="5">
        <f>SUM(D74:D75)</f>
        <v>0</v>
      </c>
      <c r="E76" s="5">
        <f>SUM(E74:E75)</f>
        <v>300000000</v>
      </c>
      <c r="F76" s="20">
        <f>E76/B76*100%</f>
        <v>0.35451976330393464</v>
      </c>
      <c r="G76" s="62">
        <f>E76-B76</f>
        <v>-546215165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9" ht="15">
      <c r="A79" s="59" t="s">
        <v>50</v>
      </c>
      <c r="B79" s="7">
        <v>2172844000</v>
      </c>
      <c r="C79" s="30">
        <v>94125647</v>
      </c>
      <c r="D79" s="30">
        <v>68666606</v>
      </c>
      <c r="E79" s="31">
        <f>C79+D79</f>
        <v>162792253</v>
      </c>
      <c r="F79" s="16">
        <f>E79/B79*100%</f>
        <v>0.07492127966848977</v>
      </c>
      <c r="G79" s="60">
        <f>E79-B79</f>
        <v>-2010051747</v>
      </c>
      <c r="I79" s="88"/>
    </row>
    <row r="80" spans="1:7" ht="15">
      <c r="A80" s="64" t="s">
        <v>94</v>
      </c>
      <c r="B80" s="25">
        <f>B79</f>
        <v>2172844000</v>
      </c>
      <c r="C80" s="25">
        <f>C79</f>
        <v>94125647</v>
      </c>
      <c r="D80" s="118">
        <f>D79</f>
        <v>68666606</v>
      </c>
      <c r="E80" s="25">
        <f>E79</f>
        <v>162792253</v>
      </c>
      <c r="F80" s="20">
        <f>E80/B80*100%</f>
        <v>0.07492127966848977</v>
      </c>
      <c r="G80" s="62">
        <f>E80-B80</f>
        <v>-2010051747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394125647</v>
      </c>
      <c r="D82" s="32">
        <f>D80+D76</f>
        <v>68666606</v>
      </c>
      <c r="E82" s="32">
        <f>E80+E76</f>
        <v>462792253</v>
      </c>
      <c r="F82" s="20">
        <f>E82/B82*100%</f>
        <v>0.15329022311492196</v>
      </c>
      <c r="G82" s="62">
        <f>E82-B82</f>
        <v>-2556266912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865782935.0799999</v>
      </c>
      <c r="D84" s="32">
        <f>D82+D69</f>
        <v>204056706</v>
      </c>
      <c r="E84" s="32">
        <f>E82+E69</f>
        <v>1069839641.0799999</v>
      </c>
      <c r="F84" s="20">
        <f>E84/B84*100%</f>
        <v>0.23872360602793952</v>
      </c>
      <c r="G84" s="62">
        <f>E84-B84</f>
        <v>-3411659523.92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3625421480.14</v>
      </c>
      <c r="D86" s="32">
        <f>D84+D59+D30</f>
        <v>677341320.23</v>
      </c>
      <c r="E86" s="32">
        <f>E84+E59+E30</f>
        <v>4302762800.37</v>
      </c>
      <c r="F86" s="20">
        <f>E86/B86*100%</f>
        <v>0.3771085390449802</v>
      </c>
      <c r="G86" s="62">
        <f>E86-B86</f>
        <v>-7107116199.63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23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v>582263000</v>
      </c>
      <c r="D91" s="40">
        <f>30647000+6046000</f>
        <v>36693000</v>
      </c>
      <c r="E91" s="40">
        <f>C91+D91</f>
        <v>618956000</v>
      </c>
      <c r="F91" s="16">
        <f>E91/B91*100%</f>
        <v>0.8685748606182054</v>
      </c>
      <c r="G91" s="60">
        <f>E91-B91</f>
        <v>-93655000</v>
      </c>
    </row>
    <row r="92" spans="1:9" ht="15">
      <c r="A92" s="59" t="s">
        <v>57</v>
      </c>
      <c r="B92" s="6">
        <v>333315000</v>
      </c>
      <c r="C92" s="40">
        <f>11126000+26223000+6400000</f>
        <v>43749000</v>
      </c>
      <c r="D92" s="40">
        <f>25376000+4800000</f>
        <v>30176000</v>
      </c>
      <c r="E92" s="40">
        <f aca="true" t="shared" si="5" ref="E92:E97">C92+D92</f>
        <v>73925000</v>
      </c>
      <c r="F92" s="16">
        <f aca="true" t="shared" si="6" ref="F92:F98">E92/B92*100%</f>
        <v>0.22178719829590626</v>
      </c>
      <c r="G92" s="60">
        <f aca="true" t="shared" si="7" ref="G92:G98">E92-B92</f>
        <v>-259390000</v>
      </c>
      <c r="I92" s="121"/>
    </row>
    <row r="93" spans="1:9" ht="15">
      <c r="A93" s="59" t="s">
        <v>58</v>
      </c>
      <c r="B93" s="17">
        <v>1099360000</v>
      </c>
      <c r="C93" s="40">
        <f>7220000+22654000+19794000+14793000+10727000</f>
        <v>75188000</v>
      </c>
      <c r="D93" s="40">
        <f>18105000+27151000+7630000+7432000+15872000+45345000</f>
        <v>121535000</v>
      </c>
      <c r="E93" s="40">
        <f t="shared" si="5"/>
        <v>196723000</v>
      </c>
      <c r="F93" s="16">
        <f t="shared" si="6"/>
        <v>0.17894320331829427</v>
      </c>
      <c r="G93" s="60">
        <f t="shared" si="7"/>
        <v>-902637000</v>
      </c>
      <c r="I93" s="87"/>
    </row>
    <row r="94" spans="1:9" ht="15">
      <c r="A94" s="59" t="s">
        <v>59</v>
      </c>
      <c r="B94" s="17">
        <v>1647264000</v>
      </c>
      <c r="C94" s="40">
        <v>561365000</v>
      </c>
      <c r="D94" s="40">
        <f>9094000+24181000+61468000+21320000+3132000+136141000</f>
        <v>255336000</v>
      </c>
      <c r="E94" s="40">
        <f t="shared" si="5"/>
        <v>816701000</v>
      </c>
      <c r="F94" s="16">
        <f t="shared" si="6"/>
        <v>0.4957924170017678</v>
      </c>
      <c r="G94" s="60">
        <f t="shared" si="7"/>
        <v>-830563000</v>
      </c>
      <c r="I94" s="87"/>
    </row>
    <row r="95" spans="1:9" ht="15">
      <c r="A95" s="59" t="s">
        <v>60</v>
      </c>
      <c r="B95" s="17">
        <f>24982000+5421000</f>
        <v>30403000</v>
      </c>
      <c r="C95" s="40">
        <v>904000</v>
      </c>
      <c r="D95" s="40">
        <v>904000</v>
      </c>
      <c r="E95" s="40">
        <f t="shared" si="5"/>
        <v>1808000</v>
      </c>
      <c r="F95" s="16">
        <f t="shared" si="6"/>
        <v>0.0594678156760846</v>
      </c>
      <c r="G95" s="60">
        <f t="shared" si="7"/>
        <v>-28595000</v>
      </c>
      <c r="I95" s="122"/>
    </row>
    <row r="96" spans="1:7" ht="15">
      <c r="A96" s="59" t="s">
        <v>61</v>
      </c>
      <c r="B96" s="17">
        <v>27938000</v>
      </c>
      <c r="C96" s="40">
        <v>1164000</v>
      </c>
      <c r="D96" s="40">
        <v>2328000</v>
      </c>
      <c r="E96" s="40">
        <f t="shared" si="5"/>
        <v>3492000</v>
      </c>
      <c r="F96" s="16">
        <f t="shared" si="6"/>
        <v>0.12499105161428878</v>
      </c>
      <c r="G96" s="60">
        <f t="shared" si="7"/>
        <v>-24446000</v>
      </c>
    </row>
    <row r="97" spans="1:7" ht="15">
      <c r="A97" s="59" t="s">
        <v>62</v>
      </c>
      <c r="B97" s="17">
        <v>17132000</v>
      </c>
      <c r="C97" s="40">
        <v>714000</v>
      </c>
      <c r="D97" s="40">
        <v>1668000</v>
      </c>
      <c r="E97" s="40">
        <f t="shared" si="5"/>
        <v>2382000</v>
      </c>
      <c r="F97" s="16">
        <f t="shared" si="6"/>
        <v>0.13903805743637637</v>
      </c>
      <c r="G97" s="60">
        <f t="shared" si="7"/>
        <v>-14750000</v>
      </c>
    </row>
    <row r="98" spans="1:7" ht="15">
      <c r="A98" s="65" t="s">
        <v>63</v>
      </c>
      <c r="B98" s="41">
        <f>SUM(B91:B97)</f>
        <v>3868023000</v>
      </c>
      <c r="C98" s="42">
        <f>SUM(C91:C97)</f>
        <v>1265347000</v>
      </c>
      <c r="D98" s="42">
        <f>SUM(D91:D97)</f>
        <v>448640000</v>
      </c>
      <c r="E98" s="42">
        <f>SUM(E91:E97)</f>
        <v>1713987000</v>
      </c>
      <c r="F98" s="43">
        <f t="shared" si="6"/>
        <v>0.44311706522944666</v>
      </c>
      <c r="G98" s="66">
        <f t="shared" si="7"/>
        <v>-2154036000</v>
      </c>
    </row>
    <row r="99" spans="1:7" ht="15">
      <c r="A99" s="58"/>
      <c r="B99" s="5"/>
      <c r="C99" s="32"/>
      <c r="D99" s="32"/>
      <c r="E99" s="32"/>
      <c r="F99" s="20"/>
      <c r="G99" s="62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85">
        <v>12749068323.986666</v>
      </c>
      <c r="D101" s="116">
        <v>3180267456</v>
      </c>
      <c r="E101" s="31">
        <f>C101+D101</f>
        <v>15929335779.986666</v>
      </c>
      <c r="F101" s="16">
        <f>E101/B101*100%</f>
        <v>0.4121489441609505</v>
      </c>
      <c r="G101" s="60">
        <f>E101-B101</f>
        <v>-22720128220.013336</v>
      </c>
    </row>
    <row r="102" spans="1:7" ht="15">
      <c r="A102" s="58" t="s">
        <v>66</v>
      </c>
      <c r="B102" s="5">
        <f>SUM(B101)</f>
        <v>38649464000</v>
      </c>
      <c r="C102" s="32">
        <f>SUM(C101)</f>
        <v>12749068323.986666</v>
      </c>
      <c r="D102" s="32">
        <f>SUM(D101)</f>
        <v>3180267456</v>
      </c>
      <c r="E102" s="32">
        <f>SUM(E101)</f>
        <v>15929335779.986666</v>
      </c>
      <c r="F102" s="20">
        <f>E102/B102*100%</f>
        <v>0.4121489441609505</v>
      </c>
      <c r="G102" s="62">
        <f>E102-B102</f>
        <v>-22720128220.013336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14014415323.986666</v>
      </c>
      <c r="D104" s="32">
        <f>D102+D98</f>
        <v>3628907456</v>
      </c>
      <c r="E104" s="32">
        <f>E102+E98</f>
        <v>17643322779.986664</v>
      </c>
      <c r="F104" s="20">
        <f>E104/B104*100%</f>
        <v>0.41496626505669687</v>
      </c>
      <c r="G104" s="62">
        <f>E104-B104</f>
        <v>-24874164220.013336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8" ref="F108:F118">E108/B108*100%</f>
        <v>0</v>
      </c>
      <c r="G108" s="60">
        <f aca="true" t="shared" si="9" ref="G108:G118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0</v>
      </c>
      <c r="E109" s="31">
        <f aca="true" t="shared" si="10" ref="E109:E116">C109+D109</f>
        <v>0</v>
      </c>
      <c r="F109" s="16">
        <f t="shared" si="8"/>
        <v>0</v>
      </c>
      <c r="G109" s="60">
        <f t="shared" si="9"/>
        <v>-434189000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10"/>
        <v>0</v>
      </c>
      <c r="F110" s="16">
        <f t="shared" si="8"/>
        <v>0</v>
      </c>
      <c r="G110" s="60">
        <f t="shared" si="9"/>
        <v>-18838000</v>
      </c>
    </row>
    <row r="111" spans="1:7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-1646097000</v>
      </c>
    </row>
    <row r="112" spans="1:7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-1151698000</v>
      </c>
    </row>
    <row r="113" spans="1:7" ht="15">
      <c r="A113" s="59" t="s">
        <v>73</v>
      </c>
      <c r="B113" s="6">
        <v>85819000</v>
      </c>
      <c r="C113" s="31">
        <v>0</v>
      </c>
      <c r="D113" s="31">
        <v>67540000</v>
      </c>
      <c r="E113" s="31">
        <f t="shared" si="10"/>
        <v>67540000</v>
      </c>
      <c r="F113" s="16">
        <f t="shared" si="8"/>
        <v>0.787005208636782</v>
      </c>
      <c r="G113" s="60">
        <f t="shared" si="9"/>
        <v>-18279000</v>
      </c>
    </row>
    <row r="114" spans="1:7" ht="15">
      <c r="A114" s="59" t="s">
        <v>104</v>
      </c>
      <c r="B114" s="6">
        <v>0</v>
      </c>
      <c r="C114" s="31">
        <v>825921000</v>
      </c>
      <c r="D114" s="31">
        <v>399429000</v>
      </c>
      <c r="E114" s="31">
        <f t="shared" si="10"/>
        <v>1225350000</v>
      </c>
      <c r="F114" s="16">
        <v>1</v>
      </c>
      <c r="G114" s="60">
        <f t="shared" si="9"/>
        <v>1225350000</v>
      </c>
    </row>
    <row r="115" spans="1:7" ht="15">
      <c r="A115" s="59" t="s">
        <v>110</v>
      </c>
      <c r="B115" s="6">
        <v>0</v>
      </c>
      <c r="C115" s="31">
        <v>92950090.89</v>
      </c>
      <c r="D115" s="31">
        <f>57874529.23-400000</f>
        <v>57474529.23</v>
      </c>
      <c r="E115" s="31">
        <f>C115+D115</f>
        <v>150424620.12</v>
      </c>
      <c r="F115" s="16">
        <v>1</v>
      </c>
      <c r="G115" s="60">
        <f>E115-B115</f>
        <v>150424620.12</v>
      </c>
    </row>
    <row r="116" spans="1:7" ht="15">
      <c r="A116" s="59" t="s">
        <v>74</v>
      </c>
      <c r="B116" s="6">
        <v>32713000</v>
      </c>
      <c r="C116" s="31">
        <v>115625421</v>
      </c>
      <c r="D116" s="31">
        <v>0</v>
      </c>
      <c r="E116" s="31">
        <f t="shared" si="10"/>
        <v>115625421</v>
      </c>
      <c r="F116" s="16">
        <f t="shared" si="8"/>
        <v>3.53454042735304</v>
      </c>
      <c r="G116" s="60">
        <f t="shared" si="9"/>
        <v>82912421</v>
      </c>
    </row>
    <row r="117" spans="1:7" ht="20.25" customHeight="1">
      <c r="A117" s="58" t="s">
        <v>75</v>
      </c>
      <c r="B117" s="5">
        <f>SUM(B108:B116)</f>
        <v>3379769000</v>
      </c>
      <c r="C117" s="32">
        <f>SUM(C108:C116)</f>
        <v>1034496511.89</v>
      </c>
      <c r="D117" s="32">
        <f>SUM(D108:D116)</f>
        <v>524443529.23</v>
      </c>
      <c r="E117" s="32">
        <f>SUM(E108:E116)</f>
        <v>1558940041.12</v>
      </c>
      <c r="F117" s="20">
        <f t="shared" si="8"/>
        <v>0.46125638797207735</v>
      </c>
      <c r="G117" s="60">
        <f t="shared" si="9"/>
        <v>-1820828958.88</v>
      </c>
    </row>
    <row r="118" spans="1:7" ht="21" customHeight="1">
      <c r="A118" s="65" t="s">
        <v>76</v>
      </c>
      <c r="B118" s="41">
        <f>B117+B104</f>
        <v>45897256000</v>
      </c>
      <c r="C118" s="42">
        <f>C117+C104</f>
        <v>15048911835.876665</v>
      </c>
      <c r="D118" s="42">
        <f>D117+D104</f>
        <v>4153350985.23</v>
      </c>
      <c r="E118" s="42">
        <f>E117+E104</f>
        <v>19202262821.106663</v>
      </c>
      <c r="F118" s="43">
        <f t="shared" si="8"/>
        <v>0.41837496387816003</v>
      </c>
      <c r="G118" s="66">
        <f t="shared" si="9"/>
        <v>-26694993178.893337</v>
      </c>
    </row>
    <row r="119" spans="1:7" ht="21" customHeight="1">
      <c r="A119" s="1"/>
      <c r="B119" s="5"/>
      <c r="C119" s="32"/>
      <c r="D119" s="32"/>
      <c r="E119" s="32"/>
      <c r="F119" s="20"/>
      <c r="G119" s="5"/>
    </row>
    <row r="120" spans="1:7" ht="20.25" customHeight="1">
      <c r="A120" s="93" t="s">
        <v>96</v>
      </c>
      <c r="B120" s="94"/>
      <c r="C120" s="92"/>
      <c r="D120" s="92"/>
      <c r="E120" s="92"/>
      <c r="F120" s="95"/>
      <c r="G120" s="96"/>
    </row>
    <row r="121" spans="1:7" ht="20.25" customHeight="1">
      <c r="A121" s="59" t="s">
        <v>95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17.25" customHeight="1">
      <c r="A122" s="59" t="s">
        <v>92</v>
      </c>
      <c r="B122" s="6">
        <v>0</v>
      </c>
      <c r="C122" s="31">
        <v>0</v>
      </c>
      <c r="D122" s="31">
        <v>0</v>
      </c>
      <c r="E122" s="31">
        <f>C122+D122</f>
        <v>0</v>
      </c>
      <c r="F122" s="16">
        <v>1</v>
      </c>
      <c r="G122" s="60">
        <f>E122-B122</f>
        <v>0</v>
      </c>
    </row>
    <row r="123" spans="1:7" ht="21" customHeight="1" thickBot="1">
      <c r="A123" s="90" t="s">
        <v>97</v>
      </c>
      <c r="B123" s="91">
        <f>SUM(B121:B122)</f>
        <v>0</v>
      </c>
      <c r="C123" s="91">
        <v>0</v>
      </c>
      <c r="D123" s="91">
        <f>SUM(D121:D122)</f>
        <v>0</v>
      </c>
      <c r="E123" s="32">
        <f>C123+D123</f>
        <v>0</v>
      </c>
      <c r="F123" s="20">
        <v>1</v>
      </c>
      <c r="G123" s="62">
        <f>E123-B123</f>
        <v>0</v>
      </c>
    </row>
    <row r="124" spans="1:7" ht="21" customHeight="1" thickBot="1">
      <c r="A124" s="90" t="s">
        <v>98</v>
      </c>
      <c r="B124" s="91">
        <f>B117+B123</f>
        <v>3379769000</v>
      </c>
      <c r="C124" s="91">
        <f>C117+C123</f>
        <v>1034496511.89</v>
      </c>
      <c r="D124" s="91">
        <f>D117+D123</f>
        <v>524443529.23</v>
      </c>
      <c r="E124" s="91">
        <f>E117+E123</f>
        <v>1558940041.12</v>
      </c>
      <c r="F124" s="20">
        <f>E124/B124*100%</f>
        <v>0.46125638797207735</v>
      </c>
      <c r="G124" s="62">
        <f>E124-B124</f>
        <v>-1820828958.88</v>
      </c>
    </row>
    <row r="125" spans="1:7" ht="28.5" customHeight="1" thickBot="1">
      <c r="A125" s="49" t="s">
        <v>77</v>
      </c>
      <c r="B125" s="50">
        <f>B118+B86+B123</f>
        <v>57307135000</v>
      </c>
      <c r="C125" s="50">
        <f>C118+C86+C123</f>
        <v>18674333316.016666</v>
      </c>
      <c r="D125" s="50">
        <f>D118+D86+D123</f>
        <v>4830692305.46</v>
      </c>
      <c r="E125" s="50">
        <f>E118+E86+E123</f>
        <v>23505025621.47666</v>
      </c>
      <c r="F125" s="51">
        <f>E125/B125*100%</f>
        <v>0.4101587982277715</v>
      </c>
      <c r="G125" s="52">
        <f>E125-B125</f>
        <v>-33802109378.52334</v>
      </c>
    </row>
    <row r="126" spans="3:5" ht="15">
      <c r="C126" s="120"/>
      <c r="E126" s="113"/>
    </row>
    <row r="127" spans="2:5" ht="15">
      <c r="B127" s="113"/>
      <c r="D127" s="113"/>
      <c r="E127" s="124"/>
    </row>
  </sheetData>
  <sheetProtection/>
  <mergeCells count="2">
    <mergeCell ref="B2:D2"/>
    <mergeCell ref="B3:D3"/>
  </mergeCells>
  <printOptions/>
  <pageMargins left="0.7" right="0.7" top="0.55" bottom="0.75" header="0.24" footer="0.3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2">
      <selection activeCell="D101" sqref="D101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119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117</v>
      </c>
      <c r="D7" s="112" t="s">
        <v>120</v>
      </c>
      <c r="E7" s="75" t="s">
        <v>121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4500000</v>
      </c>
      <c r="D11" s="6">
        <v>1500000</v>
      </c>
      <c r="E11" s="6">
        <f>C11+D11</f>
        <v>6000000</v>
      </c>
      <c r="F11" s="16">
        <f>E11/B11*100%</f>
        <v>0.10309278350515463</v>
      </c>
      <c r="G11" s="60">
        <f>E11-B11</f>
        <v>-52200000</v>
      </c>
    </row>
    <row r="12" spans="1:7" ht="15.75">
      <c r="A12" s="61" t="s">
        <v>82</v>
      </c>
      <c r="B12" s="23">
        <v>32400000</v>
      </c>
      <c r="C12" s="6">
        <v>0</v>
      </c>
      <c r="D12" s="6">
        <v>0</v>
      </c>
      <c r="E12" s="6">
        <f>C12+D12</f>
        <v>0</v>
      </c>
      <c r="F12" s="16">
        <f>E12/B12*100%</f>
        <v>0</v>
      </c>
      <c r="G12" s="60">
        <f>E12-B12</f>
        <v>-32400000</v>
      </c>
    </row>
    <row r="13" spans="1:7" ht="15">
      <c r="A13" s="58" t="s">
        <v>9</v>
      </c>
      <c r="B13" s="5">
        <f>SUM(B11:B12)</f>
        <v>90600000</v>
      </c>
      <c r="C13" s="5">
        <f>SUM(C11:C12)</f>
        <v>4500000</v>
      </c>
      <c r="D13" s="5">
        <f>SUM(D11:D12)</f>
        <v>1500000</v>
      </c>
      <c r="E13" s="5">
        <f>SUM(E11:E12)</f>
        <v>6000000</v>
      </c>
      <c r="F13" s="20">
        <f>E13/B13*100%</f>
        <v>0.06622516556291391</v>
      </c>
      <c r="G13" s="62">
        <f>E13-B13</f>
        <v>-84600000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400000</v>
      </c>
      <c r="D17" s="6">
        <v>0</v>
      </c>
      <c r="E17" s="6">
        <f>C17+D17</f>
        <v>400000</v>
      </c>
      <c r="F17" s="16">
        <f aca="true" t="shared" si="0" ref="F17:F25">E17/B17*100%</f>
        <v>0.013333333333333334</v>
      </c>
      <c r="G17" s="60">
        <f aca="true" t="shared" si="1" ref="G17:G25">E17-B17</f>
        <v>-29600000</v>
      </c>
    </row>
    <row r="18" spans="1:7" ht="15">
      <c r="A18" s="59" t="s">
        <v>12</v>
      </c>
      <c r="B18" s="23">
        <v>10000000</v>
      </c>
      <c r="C18" s="6">
        <v>2316453</v>
      </c>
      <c r="D18" s="6">
        <v>52500</v>
      </c>
      <c r="E18" s="6">
        <f aca="true" t="shared" si="2" ref="E18:E25">C18+D18</f>
        <v>2368953</v>
      </c>
      <c r="F18" s="16">
        <f t="shared" si="0"/>
        <v>0.2368953</v>
      </c>
      <c r="G18" s="60">
        <f t="shared" si="1"/>
        <v>-7631047</v>
      </c>
    </row>
    <row r="19" spans="1:7" ht="15">
      <c r="A19" s="59" t="s">
        <v>13</v>
      </c>
      <c r="B19" s="23">
        <v>40156000</v>
      </c>
      <c r="C19" s="6">
        <v>21905000</v>
      </c>
      <c r="D19" s="6">
        <v>2130000</v>
      </c>
      <c r="E19" s="6">
        <f t="shared" si="2"/>
        <v>24035000</v>
      </c>
      <c r="F19" s="16">
        <f t="shared" si="0"/>
        <v>0.5985406913039147</v>
      </c>
      <c r="G19" s="60">
        <f t="shared" si="1"/>
        <v>-16121000</v>
      </c>
    </row>
    <row r="20" spans="1:7" ht="15">
      <c r="A20" s="59" t="s">
        <v>91</v>
      </c>
      <c r="B20" s="23">
        <v>1461910000</v>
      </c>
      <c r="C20" s="6">
        <v>768375368.7900001</v>
      </c>
      <c r="D20" s="6">
        <v>74027410.34</v>
      </c>
      <c r="E20" s="6">
        <f t="shared" si="2"/>
        <v>842402779.1300001</v>
      </c>
      <c r="F20" s="16">
        <f t="shared" si="0"/>
        <v>0.5762343640374579</v>
      </c>
      <c r="G20" s="60">
        <f t="shared" si="1"/>
        <v>-619507220.8699999</v>
      </c>
    </row>
    <row r="21" spans="1:7" ht="15.75" customHeight="1">
      <c r="A21" s="59" t="s">
        <v>81</v>
      </c>
      <c r="B21" s="23">
        <v>14600000</v>
      </c>
      <c r="C21" s="6">
        <v>8328121.109999999</v>
      </c>
      <c r="D21" s="6">
        <v>954850</v>
      </c>
      <c r="E21" s="6">
        <f t="shared" si="2"/>
        <v>9282971.11</v>
      </c>
      <c r="F21" s="16">
        <f t="shared" si="0"/>
        <v>0.6358199390410959</v>
      </c>
      <c r="G21" s="60">
        <f t="shared" si="1"/>
        <v>-5317028.890000001</v>
      </c>
    </row>
    <row r="22" spans="1:7" ht="15">
      <c r="A22" s="59" t="s">
        <v>14</v>
      </c>
      <c r="B22" s="23">
        <v>2616666835</v>
      </c>
      <c r="C22" s="6">
        <v>1134148881.39</v>
      </c>
      <c r="D22" s="6">
        <f>291423886.84+62000</f>
        <v>291485886.84</v>
      </c>
      <c r="E22" s="6">
        <f t="shared" si="2"/>
        <v>1425634768.23</v>
      </c>
      <c r="F22" s="16">
        <f t="shared" si="0"/>
        <v>0.5448285387963806</v>
      </c>
      <c r="G22" s="60">
        <f t="shared" si="1"/>
        <v>-1191032066.77</v>
      </c>
    </row>
    <row r="23" spans="1:7" ht="15">
      <c r="A23" s="59" t="s">
        <v>15</v>
      </c>
      <c r="B23" s="23">
        <v>9600000</v>
      </c>
      <c r="C23" s="6">
        <v>4480000</v>
      </c>
      <c r="D23" s="6">
        <v>800000</v>
      </c>
      <c r="E23" s="6">
        <f t="shared" si="2"/>
        <v>5280000</v>
      </c>
      <c r="F23" s="16">
        <f t="shared" si="0"/>
        <v>0.55</v>
      </c>
      <c r="G23" s="60">
        <f t="shared" si="1"/>
        <v>-4320000</v>
      </c>
    </row>
    <row r="24" spans="1:9" ht="15">
      <c r="A24" s="59" t="s">
        <v>16</v>
      </c>
      <c r="B24" s="23">
        <v>1396060000</v>
      </c>
      <c r="C24" s="6">
        <v>631868300</v>
      </c>
      <c r="D24" s="6">
        <f>52440500+21445000-600000</f>
        <v>73285500</v>
      </c>
      <c r="E24" s="6">
        <f t="shared" si="2"/>
        <v>705153800</v>
      </c>
      <c r="F24" s="16">
        <f t="shared" si="0"/>
        <v>0.5051027892783978</v>
      </c>
      <c r="G24" s="60">
        <f t="shared" si="1"/>
        <v>-690906200</v>
      </c>
      <c r="I24" s="113"/>
    </row>
    <row r="25" spans="1:7" ht="15">
      <c r="A25" s="58" t="s">
        <v>17</v>
      </c>
      <c r="B25" s="5">
        <f>SUM(B17:B24)</f>
        <v>5578992835</v>
      </c>
      <c r="C25" s="5">
        <f>SUM(C17:C24)</f>
        <v>2571822124.29</v>
      </c>
      <c r="D25" s="5">
        <f>SUM(D17:D24)</f>
        <v>442736147.17999995</v>
      </c>
      <c r="E25" s="5">
        <f t="shared" si="2"/>
        <v>3014558271.47</v>
      </c>
      <c r="F25" s="20">
        <f t="shared" si="0"/>
        <v>0.5403409469462063</v>
      </c>
      <c r="G25" s="62">
        <f t="shared" si="1"/>
        <v>-2564434563.53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400000</v>
      </c>
      <c r="D28" s="6">
        <v>0</v>
      </c>
      <c r="E28" s="6">
        <f>C28+D28</f>
        <v>400000</v>
      </c>
      <c r="F28" s="16">
        <f>E28/B28*100%</f>
        <v>0.13333333333333333</v>
      </c>
      <c r="G28" s="60">
        <f>E28-B28</f>
        <v>-2600000</v>
      </c>
    </row>
    <row r="29" spans="1:7" ht="15">
      <c r="A29" s="58" t="s">
        <v>19</v>
      </c>
      <c r="B29" s="5">
        <f>SUM(B28)</f>
        <v>3000000</v>
      </c>
      <c r="C29" s="5">
        <f>SUM(C28)</f>
        <v>400000</v>
      </c>
      <c r="D29" s="5">
        <f>SUM(D28)</f>
        <v>0</v>
      </c>
      <c r="E29" s="5">
        <f>C29+D29</f>
        <v>400000</v>
      </c>
      <c r="F29" s="20">
        <f>E29/B29*100%</f>
        <v>0.13333333333333333</v>
      </c>
      <c r="G29" s="62">
        <f>E29-B29</f>
        <v>-2600000</v>
      </c>
    </row>
    <row r="30" spans="1:7" ht="15">
      <c r="A30" s="58" t="s">
        <v>20</v>
      </c>
      <c r="B30" s="5">
        <f>B13+B25+B29</f>
        <v>5672592835</v>
      </c>
      <c r="C30" s="5">
        <f>C29+C25+C13</f>
        <v>2576722124.29</v>
      </c>
      <c r="D30" s="5">
        <f>D29+D25+D13</f>
        <v>444236147.17999995</v>
      </c>
      <c r="E30" s="5">
        <f>E29+E25+E13</f>
        <v>3020958271.47</v>
      </c>
      <c r="F30" s="20">
        <f>E30/B30*100%</f>
        <v>0.5325533418916713</v>
      </c>
      <c r="G30" s="62">
        <f>E30-B30</f>
        <v>-2651634563.53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90789700</v>
      </c>
      <c r="D35" s="6">
        <v>21678250</v>
      </c>
      <c r="E35" s="6">
        <f>C35+D35</f>
        <v>112467950</v>
      </c>
      <c r="F35" s="16">
        <f>E35/B35*100%</f>
        <v>0.4389849726775956</v>
      </c>
      <c r="G35" s="60">
        <f>E35-B35</f>
        <v>-143732050</v>
      </c>
    </row>
    <row r="36" spans="1:9" ht="15">
      <c r="A36" s="59" t="s">
        <v>24</v>
      </c>
      <c r="B36" s="23">
        <v>39600000</v>
      </c>
      <c r="C36" s="6">
        <v>2291935</v>
      </c>
      <c r="D36" s="6">
        <v>148550</v>
      </c>
      <c r="E36" s="6">
        <f>C36+D36</f>
        <v>2440485</v>
      </c>
      <c r="F36" s="16">
        <f>E36/B36*100%</f>
        <v>0.06162840909090909</v>
      </c>
      <c r="G36" s="60">
        <f>E36-B36</f>
        <v>-37159515</v>
      </c>
      <c r="I36" s="113"/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52018400</v>
      </c>
      <c r="D38" s="6">
        <v>12450000</v>
      </c>
      <c r="E38" s="6">
        <f>C38+D38</f>
        <v>64468400</v>
      </c>
      <c r="F38" s="16">
        <f>E38/B38*100%</f>
        <v>0.30879071928421237</v>
      </c>
      <c r="G38" s="60">
        <f>E38-B38</f>
        <v>-144308600</v>
      </c>
    </row>
    <row r="39" spans="1:7" ht="15">
      <c r="A39" s="58" t="s">
        <v>26</v>
      </c>
      <c r="B39" s="5">
        <f>SUM(B35:B38)</f>
        <v>512577000</v>
      </c>
      <c r="C39" s="5">
        <f>SUM(C35:C38)</f>
        <v>145100035</v>
      </c>
      <c r="D39" s="5">
        <f>SUM(D35:D38)</f>
        <v>34276800</v>
      </c>
      <c r="E39" s="5">
        <f>SUM(E35:E38)</f>
        <v>179376835</v>
      </c>
      <c r="F39" s="20">
        <f>E39/B39*100%</f>
        <v>0.3499510024835293</v>
      </c>
      <c r="G39" s="62">
        <f>E39-B39</f>
        <v>-333200165</v>
      </c>
    </row>
    <row r="40" spans="1:7" ht="15.75" thickBot="1">
      <c r="A40" s="70"/>
      <c r="B40" s="71"/>
      <c r="C40" s="71"/>
      <c r="D40" s="71"/>
      <c r="E40" s="71"/>
      <c r="F40" s="72"/>
      <c r="G40" s="73"/>
    </row>
    <row r="41" spans="1:7" ht="15">
      <c r="A41" s="67" t="s">
        <v>27</v>
      </c>
      <c r="B41" s="44"/>
      <c r="C41" s="44"/>
      <c r="D41" s="44"/>
      <c r="E41" s="48"/>
      <c r="F41" s="47"/>
      <c r="G41" s="68"/>
    </row>
    <row r="42" spans="1:7" ht="15">
      <c r="A42" s="59" t="s">
        <v>28</v>
      </c>
      <c r="B42" s="23">
        <v>520410000</v>
      </c>
      <c r="C42" s="36">
        <v>387741000</v>
      </c>
      <c r="D42" s="36">
        <v>0</v>
      </c>
      <c r="E42" s="6">
        <f>C42+D42</f>
        <v>387741000</v>
      </c>
      <c r="F42" s="16">
        <f>E42/B42*100%</f>
        <v>0.7450683115236064</v>
      </c>
      <c r="G42" s="60">
        <f>E42-B42</f>
        <v>-132669000</v>
      </c>
    </row>
    <row r="43" spans="1:7" ht="15">
      <c r="A43" s="58" t="s">
        <v>29</v>
      </c>
      <c r="B43" s="5">
        <f>SUM(B42)</f>
        <v>520410000</v>
      </c>
      <c r="C43" s="5">
        <f>SUM(C42)</f>
        <v>387741000</v>
      </c>
      <c r="D43" s="5">
        <f>SUM(D42)</f>
        <v>0</v>
      </c>
      <c r="E43" s="5">
        <f>SUM(E42)</f>
        <v>387741000</v>
      </c>
      <c r="F43" s="20">
        <f>E43/B43*100%</f>
        <v>0.7450683115236064</v>
      </c>
      <c r="G43" s="62">
        <f>E43-B43</f>
        <v>-132669000</v>
      </c>
    </row>
    <row r="44" spans="1:9" ht="15">
      <c r="A44" s="59"/>
      <c r="B44" s="6"/>
      <c r="C44" s="6"/>
      <c r="D44" s="6"/>
      <c r="E44" s="6"/>
      <c r="F44" s="16"/>
      <c r="G44" s="60"/>
      <c r="I44" s="122"/>
    </row>
    <row r="45" spans="1:7" ht="15">
      <c r="A45" s="58" t="s">
        <v>30</v>
      </c>
      <c r="B45" s="12"/>
      <c r="C45" s="12"/>
      <c r="D45" s="12"/>
      <c r="E45" s="86"/>
      <c r="F45" s="16"/>
      <c r="G45" s="60"/>
    </row>
    <row r="46" spans="1:7" ht="15">
      <c r="A46" s="59" t="s">
        <v>31</v>
      </c>
      <c r="B46" s="23">
        <v>147700000</v>
      </c>
      <c r="C46" s="6">
        <v>79350000</v>
      </c>
      <c r="D46" s="6">
        <v>25000000</v>
      </c>
      <c r="E46" s="6">
        <f>C46+D46</f>
        <v>104350000</v>
      </c>
      <c r="F46" s="20">
        <f>E46/B46*100%</f>
        <v>0.7064996614759648</v>
      </c>
      <c r="G46" s="62">
        <f>E46-B46</f>
        <v>-43350000</v>
      </c>
    </row>
    <row r="47" spans="1:7" ht="15.75">
      <c r="A47" s="61" t="s">
        <v>83</v>
      </c>
      <c r="B47" s="23">
        <v>12000000</v>
      </c>
      <c r="C47" s="6">
        <v>10400000</v>
      </c>
      <c r="D47" s="6">
        <v>1500000</v>
      </c>
      <c r="E47" s="6">
        <f>C47+D47</f>
        <v>11900000</v>
      </c>
      <c r="F47" s="20">
        <f>E47/B47*100%</f>
        <v>0.9916666666666667</v>
      </c>
      <c r="G47" s="62">
        <f>E47-B47</f>
        <v>-100000</v>
      </c>
    </row>
    <row r="48" spans="1:7" ht="15">
      <c r="A48" s="58" t="s">
        <v>32</v>
      </c>
      <c r="B48" s="5">
        <f>SUM(B46:B47)</f>
        <v>159700000</v>
      </c>
      <c r="C48" s="5">
        <f>SUM(C46:C47)</f>
        <v>89750000</v>
      </c>
      <c r="D48" s="5">
        <f>SUM(D46:D47)</f>
        <v>26500000</v>
      </c>
      <c r="E48" s="5">
        <f>SUM(E46:E47)</f>
        <v>116250000</v>
      </c>
      <c r="F48" s="20">
        <f>E48/B48*100%</f>
        <v>0.7279273638071384</v>
      </c>
      <c r="G48" s="62">
        <f>E48-B48</f>
        <v>-43450000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3450000</v>
      </c>
      <c r="D51" s="6">
        <v>0</v>
      </c>
      <c r="E51" s="6">
        <f>C51+D51</f>
        <v>3450000</v>
      </c>
      <c r="F51" s="16">
        <f>E51/B51*100%</f>
        <v>0.23</v>
      </c>
      <c r="G51" s="60">
        <f>E51-B51</f>
        <v>-11550000</v>
      </c>
    </row>
    <row r="52" spans="1:9" ht="15">
      <c r="A52" s="59" t="s">
        <v>35</v>
      </c>
      <c r="B52" s="23">
        <v>40000000</v>
      </c>
      <c r="C52" s="6">
        <v>27400000</v>
      </c>
      <c r="D52" s="6">
        <v>9140000</v>
      </c>
      <c r="E52" s="6">
        <f>C52+D52</f>
        <v>36540000</v>
      </c>
      <c r="F52" s="16">
        <f>E52/B52*100%</f>
        <v>0.9135</v>
      </c>
      <c r="G52" s="60">
        <f>E52-B52</f>
        <v>-3460000</v>
      </c>
      <c r="I52" s="122"/>
    </row>
    <row r="53" spans="1:9" ht="15">
      <c r="A53" s="58" t="s">
        <v>36</v>
      </c>
      <c r="B53" s="5">
        <f>SUM(B51:B52)</f>
        <v>55000000</v>
      </c>
      <c r="C53" s="5">
        <f>SUM(C51:C52)</f>
        <v>30850000</v>
      </c>
      <c r="D53" s="5">
        <f>SUM(D51:D52)</f>
        <v>9140000</v>
      </c>
      <c r="E53" s="5">
        <f>SUM(E51:E52)</f>
        <v>39990000</v>
      </c>
      <c r="F53" s="20">
        <f>E53/B53*100%</f>
        <v>0.7270909090909091</v>
      </c>
      <c r="G53" s="62">
        <f>E53-B53</f>
        <v>-15010000</v>
      </c>
      <c r="I53" s="88"/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9" ht="15">
      <c r="A55" s="58" t="s">
        <v>84</v>
      </c>
      <c r="B55" s="5"/>
      <c r="C55" s="5"/>
      <c r="D55" s="5"/>
      <c r="E55" s="5"/>
      <c r="F55" s="16"/>
      <c r="G55" s="60"/>
      <c r="I55" s="122"/>
    </row>
    <row r="56" spans="1:9" ht="15.75">
      <c r="A56" s="61" t="s">
        <v>85</v>
      </c>
      <c r="B56" s="23">
        <v>8100000</v>
      </c>
      <c r="C56" s="6">
        <v>2760000</v>
      </c>
      <c r="D56" s="6">
        <v>2200000</v>
      </c>
      <c r="E56" s="6">
        <f>C56+D56</f>
        <v>4960000</v>
      </c>
      <c r="F56" s="16">
        <f>E56/B56*100%</f>
        <v>0.6123456790123457</v>
      </c>
      <c r="G56" s="60">
        <f>E56-B56</f>
        <v>-3140000</v>
      </c>
      <c r="I56" s="88"/>
    </row>
    <row r="57" spans="1:7" ht="15.75">
      <c r="A57" s="63" t="s">
        <v>86</v>
      </c>
      <c r="B57" s="24">
        <f>SUM(B56)</f>
        <v>8100000</v>
      </c>
      <c r="C57" s="37">
        <f>SUM(C56)</f>
        <v>2760000</v>
      </c>
      <c r="D57" s="37">
        <f>SUM(D56)</f>
        <v>2200000</v>
      </c>
      <c r="E57" s="37">
        <f>SUM(E56)</f>
        <v>4960000</v>
      </c>
      <c r="F57" s="20">
        <f>E57/B57*100%</f>
        <v>0.6123456790123457</v>
      </c>
      <c r="G57" s="60">
        <f>E57-B57</f>
        <v>-3140000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9" ht="26.25">
      <c r="A59" s="64" t="s">
        <v>37</v>
      </c>
      <c r="B59" s="5">
        <f>B39+B43+B48+B53+B57</f>
        <v>1255787000</v>
      </c>
      <c r="C59" s="5">
        <f>C53+C48+C43+C39+C57</f>
        <v>656201035</v>
      </c>
      <c r="D59" s="5">
        <f>D53+D48+D43+D39+D57</f>
        <v>72116800</v>
      </c>
      <c r="E59" s="5">
        <f>E53+E48+E43+E39+E57</f>
        <v>728317835</v>
      </c>
      <c r="F59" s="20">
        <f>E59/B59*100%</f>
        <v>0.5799692423954063</v>
      </c>
      <c r="G59" s="62">
        <f>E59-B59</f>
        <v>-527469165</v>
      </c>
      <c r="I59" s="88"/>
    </row>
    <row r="60" spans="1:9" ht="15">
      <c r="A60" s="64"/>
      <c r="B60" s="5"/>
      <c r="C60" s="5"/>
      <c r="D60" s="5"/>
      <c r="E60" s="5"/>
      <c r="F60" s="20"/>
      <c r="G60" s="62"/>
      <c r="I60" s="122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100800388.08</v>
      </c>
      <c r="D64" s="6">
        <v>178209748</v>
      </c>
      <c r="E64" s="6">
        <f>C64+D64</f>
        <v>279010136.08</v>
      </c>
      <c r="F64" s="16">
        <f aca="true" t="shared" si="3" ref="F64:F69">E64/B64*100%</f>
        <v>0.429219949664636</v>
      </c>
      <c r="G64" s="60">
        <f aca="true" t="shared" si="4" ref="G64:G69">E64-B64</f>
        <v>-371029863.92</v>
      </c>
    </row>
    <row r="65" spans="1:7" ht="15">
      <c r="A65" s="59" t="s">
        <v>41</v>
      </c>
      <c r="B65" s="23">
        <v>192000000</v>
      </c>
      <c r="C65" s="6">
        <v>129980000</v>
      </c>
      <c r="D65" s="6">
        <v>18110000</v>
      </c>
      <c r="E65" s="6">
        <f>C65+D65</f>
        <v>148090000</v>
      </c>
      <c r="F65" s="16">
        <f t="shared" si="3"/>
        <v>0.7713020833333334</v>
      </c>
      <c r="G65" s="60">
        <f t="shared" si="4"/>
        <v>-43910000</v>
      </c>
    </row>
    <row r="66" spans="1:7" ht="15">
      <c r="A66" s="59" t="s">
        <v>42</v>
      </c>
      <c r="B66" s="23">
        <v>589200000</v>
      </c>
      <c r="C66" s="6">
        <v>356225000</v>
      </c>
      <c r="D66" s="6">
        <v>44707000</v>
      </c>
      <c r="E66" s="6">
        <f>C66+D66</f>
        <v>400932000</v>
      </c>
      <c r="F66" s="16">
        <f t="shared" si="3"/>
        <v>0.6804684317718941</v>
      </c>
      <c r="G66" s="60">
        <f t="shared" si="4"/>
        <v>-188268000</v>
      </c>
    </row>
    <row r="67" spans="1:7" ht="15">
      <c r="A67" s="59" t="s">
        <v>43</v>
      </c>
      <c r="B67" s="23">
        <v>20400000</v>
      </c>
      <c r="C67" s="6">
        <v>11492000</v>
      </c>
      <c r="D67" s="6">
        <v>1414000</v>
      </c>
      <c r="E67" s="6">
        <f>C67+D67</f>
        <v>12906000</v>
      </c>
      <c r="F67" s="16">
        <f t="shared" si="3"/>
        <v>0.6326470588235295</v>
      </c>
      <c r="G67" s="60">
        <f t="shared" si="4"/>
        <v>-7494000</v>
      </c>
    </row>
    <row r="68" spans="1:7" ht="15.75">
      <c r="A68" s="61" t="s">
        <v>87</v>
      </c>
      <c r="B68" s="23">
        <v>10800000</v>
      </c>
      <c r="C68" s="6">
        <v>8550000</v>
      </c>
      <c r="D68" s="6">
        <v>100000</v>
      </c>
      <c r="E68" s="6">
        <f>C68+D68</f>
        <v>8650000</v>
      </c>
      <c r="F68" s="16">
        <f t="shared" si="3"/>
        <v>0.8009259259259259</v>
      </c>
      <c r="G68" s="60">
        <f t="shared" si="4"/>
        <v>-2150000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607047388.0799999</v>
      </c>
      <c r="D69" s="5">
        <f>SUM(D64:D68)</f>
        <v>242540748</v>
      </c>
      <c r="E69" s="5">
        <f>SUM(E64:E68)</f>
        <v>849588136.0799999</v>
      </c>
      <c r="F69" s="20">
        <f t="shared" si="3"/>
        <v>0.5809387982276195</v>
      </c>
      <c r="G69" s="62">
        <f t="shared" si="4"/>
        <v>-612851863.9200001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300000000</v>
      </c>
      <c r="D74" s="6">
        <v>200000000</v>
      </c>
      <c r="E74" s="6">
        <f>C74+D74</f>
        <v>500000000</v>
      </c>
      <c r="F74" s="16">
        <f>E74/B74*100%</f>
        <v>1.0817472853795267</v>
      </c>
      <c r="G74" s="60">
        <f>E74-B74</f>
        <v>37784835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300000000</v>
      </c>
      <c r="D76" s="5">
        <f>SUM(D74:D75)</f>
        <v>200000000</v>
      </c>
      <c r="E76" s="5">
        <f>SUM(E74:E75)</f>
        <v>500000000</v>
      </c>
      <c r="F76" s="20">
        <f>E76/B76*100%</f>
        <v>0.5908662721732244</v>
      </c>
      <c r="G76" s="62">
        <f>E76-B76</f>
        <v>-346215165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9" ht="15">
      <c r="A79" s="59" t="s">
        <v>50</v>
      </c>
      <c r="B79" s="7">
        <v>2172844000</v>
      </c>
      <c r="C79" s="30">
        <v>162792253</v>
      </c>
      <c r="D79" s="30">
        <v>144726978</v>
      </c>
      <c r="E79" s="31">
        <f>C79+D79</f>
        <v>307519231</v>
      </c>
      <c r="F79" s="16">
        <f>E79/B79*100%</f>
        <v>0.14152844428776296</v>
      </c>
      <c r="G79" s="60">
        <f>E79-B79</f>
        <v>-1865324769</v>
      </c>
      <c r="I79" s="88"/>
    </row>
    <row r="80" spans="1:7" ht="15">
      <c r="A80" s="64" t="s">
        <v>94</v>
      </c>
      <c r="B80" s="25">
        <f>B79</f>
        <v>2172844000</v>
      </c>
      <c r="C80" s="25">
        <f>C79</f>
        <v>162792253</v>
      </c>
      <c r="D80" s="118">
        <f>D79</f>
        <v>144726978</v>
      </c>
      <c r="E80" s="25">
        <f>E79</f>
        <v>307519231</v>
      </c>
      <c r="F80" s="20">
        <f>E80/B80*100%</f>
        <v>0.14152844428776296</v>
      </c>
      <c r="G80" s="62">
        <f>E80-B80</f>
        <v>-1865324769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462792253</v>
      </c>
      <c r="D82" s="32">
        <f>D80+D76</f>
        <v>344726978</v>
      </c>
      <c r="E82" s="32">
        <f>E80+E76</f>
        <v>807519231</v>
      </c>
      <c r="F82" s="20">
        <f>E82/B82*100%</f>
        <v>0.26747380122972847</v>
      </c>
      <c r="G82" s="62">
        <f>E82-B82</f>
        <v>-2211539934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1069839641.0799999</v>
      </c>
      <c r="D84" s="32">
        <f>D82+D69</f>
        <v>587267726</v>
      </c>
      <c r="E84" s="32">
        <f>E82+E69</f>
        <v>1657107367.08</v>
      </c>
      <c r="F84" s="20">
        <f>E84/B84*100%</f>
        <v>0.3697663005321568</v>
      </c>
      <c r="G84" s="62">
        <f>E84-B84</f>
        <v>-2824391797.92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4302762800.37</v>
      </c>
      <c r="D86" s="32">
        <f>D84+D59+D30</f>
        <v>1103620673.1799998</v>
      </c>
      <c r="E86" s="32">
        <f>E84+E59+E30</f>
        <v>5406383473.549999</v>
      </c>
      <c r="F86" s="20">
        <f>E86/B86*100%</f>
        <v>0.4738335501673593</v>
      </c>
      <c r="G86" s="62">
        <f>E86-B86</f>
        <v>-6003495526.450001</v>
      </c>
    </row>
    <row r="87" spans="1:7" ht="15">
      <c r="A87" s="1"/>
      <c r="B87" s="5"/>
      <c r="C87" s="32"/>
      <c r="D87" s="32"/>
      <c r="E87" s="32"/>
      <c r="F87" s="20"/>
      <c r="G87" s="5"/>
    </row>
    <row r="88" spans="1:7" ht="15">
      <c r="A88" s="67" t="s">
        <v>54</v>
      </c>
      <c r="B88" s="78"/>
      <c r="C88" s="45"/>
      <c r="D88" s="45"/>
      <c r="E88" s="79"/>
      <c r="F88" s="47"/>
      <c r="G88" s="68"/>
    </row>
    <row r="89" spans="1:7" ht="15">
      <c r="A89" s="58" t="s">
        <v>55</v>
      </c>
      <c r="B89" s="4"/>
      <c r="C89" s="123"/>
      <c r="D89" s="33"/>
      <c r="E89" s="32"/>
      <c r="F89" s="16"/>
      <c r="G89" s="60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7" ht="15">
      <c r="A91" s="59" t="s">
        <v>80</v>
      </c>
      <c r="B91" s="18">
        <f>670523000+42088000</f>
        <v>712611000</v>
      </c>
      <c r="C91" s="40">
        <v>618956000</v>
      </c>
      <c r="D91" s="40">
        <f>6058000+5108000</f>
        <v>11166000</v>
      </c>
      <c r="E91" s="40">
        <f>C91+D91</f>
        <v>630122000</v>
      </c>
      <c r="F91" s="16">
        <f>E91/B91*100%</f>
        <v>0.8842439984788335</v>
      </c>
      <c r="G91" s="60">
        <f>E91-B91</f>
        <v>-82489000</v>
      </c>
    </row>
    <row r="92" spans="1:9" ht="15">
      <c r="A92" s="59" t="s">
        <v>57</v>
      </c>
      <c r="B92" s="6">
        <v>333315000</v>
      </c>
      <c r="C92" s="40">
        <v>73925000</v>
      </c>
      <c r="D92" s="40">
        <f>25376000+2400000</f>
        <v>27776000</v>
      </c>
      <c r="E92" s="40">
        <f aca="true" t="shared" si="5" ref="E92:E97">C92+D92</f>
        <v>101701000</v>
      </c>
      <c r="F92" s="16">
        <f aca="true" t="shared" si="6" ref="F92:F98">E92/B92*100%</f>
        <v>0.30511978158798736</v>
      </c>
      <c r="G92" s="60">
        <f aca="true" t="shared" si="7" ref="G92:G98">E92-B92</f>
        <v>-231614000</v>
      </c>
      <c r="I92" s="121"/>
    </row>
    <row r="93" spans="1:9" ht="15">
      <c r="A93" s="59" t="s">
        <v>58</v>
      </c>
      <c r="B93" s="17">
        <v>1099360000</v>
      </c>
      <c r="C93" s="40">
        <v>196723000</v>
      </c>
      <c r="D93" s="40">
        <f>18105000+7630000+3716000+12577000+3716000</f>
        <v>45744000</v>
      </c>
      <c r="E93" s="40">
        <f t="shared" si="5"/>
        <v>242467000</v>
      </c>
      <c r="F93" s="16">
        <f t="shared" si="6"/>
        <v>0.22055286712268957</v>
      </c>
      <c r="G93" s="60">
        <f t="shared" si="7"/>
        <v>-856893000</v>
      </c>
      <c r="I93" s="87"/>
    </row>
    <row r="94" spans="1:9" ht="15">
      <c r="A94" s="59" t="s">
        <v>59</v>
      </c>
      <c r="B94" s="17">
        <v>1647264000</v>
      </c>
      <c r="C94" s="40">
        <v>816701000</v>
      </c>
      <c r="D94" s="40">
        <f>9094000+61456000+10660000+10660000+122912000</f>
        <v>214782000</v>
      </c>
      <c r="E94" s="40">
        <f t="shared" si="5"/>
        <v>1031483000</v>
      </c>
      <c r="F94" s="16">
        <f t="shared" si="6"/>
        <v>0.6261795316354877</v>
      </c>
      <c r="G94" s="60">
        <f t="shared" si="7"/>
        <v>-615781000</v>
      </c>
      <c r="I94" s="87"/>
    </row>
    <row r="95" spans="1:9" ht="15">
      <c r="A95" s="59" t="s">
        <v>60</v>
      </c>
      <c r="B95" s="17">
        <f>24982000+5421000</f>
        <v>30403000</v>
      </c>
      <c r="C95" s="40">
        <v>1808000</v>
      </c>
      <c r="D95" s="40">
        <v>0</v>
      </c>
      <c r="E95" s="40">
        <f t="shared" si="5"/>
        <v>1808000</v>
      </c>
      <c r="F95" s="16">
        <f t="shared" si="6"/>
        <v>0.0594678156760846</v>
      </c>
      <c r="G95" s="60">
        <f t="shared" si="7"/>
        <v>-28595000</v>
      </c>
      <c r="I95" s="122"/>
    </row>
    <row r="96" spans="1:7" ht="15">
      <c r="A96" s="59" t="s">
        <v>61</v>
      </c>
      <c r="B96" s="17">
        <v>27938000</v>
      </c>
      <c r="C96" s="40">
        <v>3492000</v>
      </c>
      <c r="D96" s="40">
        <v>0</v>
      </c>
      <c r="E96" s="40">
        <f t="shared" si="5"/>
        <v>3492000</v>
      </c>
      <c r="F96" s="16">
        <f t="shared" si="6"/>
        <v>0.12499105161428878</v>
      </c>
      <c r="G96" s="60">
        <f t="shared" si="7"/>
        <v>-24446000</v>
      </c>
    </row>
    <row r="97" spans="1:7" ht="15">
      <c r="A97" s="59" t="s">
        <v>62</v>
      </c>
      <c r="B97" s="17">
        <v>17132000</v>
      </c>
      <c r="C97" s="40">
        <v>2382000</v>
      </c>
      <c r="D97" s="40">
        <v>0</v>
      </c>
      <c r="E97" s="40">
        <f t="shared" si="5"/>
        <v>2382000</v>
      </c>
      <c r="F97" s="16">
        <f t="shared" si="6"/>
        <v>0.13903805743637637</v>
      </c>
      <c r="G97" s="60">
        <f t="shared" si="7"/>
        <v>-14750000</v>
      </c>
    </row>
    <row r="98" spans="1:9" ht="15">
      <c r="A98" s="65" t="s">
        <v>63</v>
      </c>
      <c r="B98" s="41">
        <f>SUM(B91:B97)</f>
        <v>3868023000</v>
      </c>
      <c r="C98" s="42">
        <f>SUM(C91:C97)</f>
        <v>1713987000</v>
      </c>
      <c r="D98" s="42">
        <f>SUM(D91:D97)</f>
        <v>299468000</v>
      </c>
      <c r="E98" s="42">
        <f>SUM(E91:E97)</f>
        <v>2013455000</v>
      </c>
      <c r="F98" s="43">
        <f t="shared" si="6"/>
        <v>0.5205385283386371</v>
      </c>
      <c r="G98" s="66">
        <f t="shared" si="7"/>
        <v>-1854568000</v>
      </c>
      <c r="I98" s="125"/>
    </row>
    <row r="99" spans="1:9" ht="15">
      <c r="A99" s="58"/>
      <c r="B99" s="5"/>
      <c r="C99" s="32"/>
      <c r="D99" s="32"/>
      <c r="E99" s="32"/>
      <c r="F99" s="20"/>
      <c r="G99" s="62"/>
      <c r="I99" s="88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7" ht="15">
      <c r="A101" s="59" t="s">
        <v>65</v>
      </c>
      <c r="B101" s="6">
        <v>38649464000</v>
      </c>
      <c r="C101" s="85">
        <v>15929335779.986666</v>
      </c>
      <c r="D101" s="116">
        <v>3180267456</v>
      </c>
      <c r="E101" s="31">
        <f>C101+D101</f>
        <v>19109603235.986664</v>
      </c>
      <c r="F101" s="16">
        <f>E101/B101*100%</f>
        <v>0.49443384870710405</v>
      </c>
      <c r="G101" s="60">
        <f>E101-B101</f>
        <v>-19539860764.013336</v>
      </c>
    </row>
    <row r="102" spans="1:7" ht="15">
      <c r="A102" s="58" t="s">
        <v>66</v>
      </c>
      <c r="B102" s="5">
        <f>SUM(B101)</f>
        <v>38649464000</v>
      </c>
      <c r="C102" s="32">
        <f>SUM(C101)</f>
        <v>15929335779.986666</v>
      </c>
      <c r="D102" s="32">
        <f>SUM(D101)</f>
        <v>3180267456</v>
      </c>
      <c r="E102" s="32">
        <f>SUM(E101)</f>
        <v>19109603235.986664</v>
      </c>
      <c r="F102" s="20">
        <f>E102/B102*100%</f>
        <v>0.49443384870710405</v>
      </c>
      <c r="G102" s="62">
        <f>E102-B102</f>
        <v>-19539860764.013336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17643322779.986664</v>
      </c>
      <c r="D104" s="32">
        <f>D102+D98</f>
        <v>3479735456</v>
      </c>
      <c r="E104" s="32">
        <f>E102+E98</f>
        <v>21123058235.986664</v>
      </c>
      <c r="F104" s="20">
        <f>E104/B104*100%</f>
        <v>0.496808718633504</v>
      </c>
      <c r="G104" s="62">
        <f>E104-B104</f>
        <v>-21394428764.013336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8" ref="F108:F118">E108/B108*100%</f>
        <v>0</v>
      </c>
      <c r="G108" s="60">
        <f aca="true" t="shared" si="9" ref="G108:G118">E108-B108</f>
        <v>-10415000</v>
      </c>
    </row>
    <row r="109" spans="1:7" ht="15">
      <c r="A109" s="59" t="s">
        <v>70</v>
      </c>
      <c r="B109" s="6">
        <v>434189000</v>
      </c>
      <c r="C109" s="31">
        <v>0</v>
      </c>
      <c r="D109" s="31">
        <v>109372500</v>
      </c>
      <c r="E109" s="31">
        <f aca="true" t="shared" si="10" ref="E109:E116">C109+D109</f>
        <v>109372500</v>
      </c>
      <c r="F109" s="16">
        <f t="shared" si="8"/>
        <v>0.25190066998473015</v>
      </c>
      <c r="G109" s="60">
        <f t="shared" si="9"/>
        <v>-324816500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10"/>
        <v>0</v>
      </c>
      <c r="F110" s="16">
        <f t="shared" si="8"/>
        <v>0</v>
      </c>
      <c r="G110" s="60">
        <f t="shared" si="9"/>
        <v>-18838000</v>
      </c>
    </row>
    <row r="111" spans="1:7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-1646097000</v>
      </c>
    </row>
    <row r="112" spans="1:7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-1151698000</v>
      </c>
    </row>
    <row r="113" spans="1:7" ht="15">
      <c r="A113" s="59" t="s">
        <v>73</v>
      </c>
      <c r="B113" s="6">
        <v>85819000</v>
      </c>
      <c r="C113" s="31">
        <v>67540000</v>
      </c>
      <c r="D113" s="31">
        <v>0</v>
      </c>
      <c r="E113" s="31">
        <f t="shared" si="10"/>
        <v>67540000</v>
      </c>
      <c r="F113" s="16">
        <f t="shared" si="8"/>
        <v>0.787005208636782</v>
      </c>
      <c r="G113" s="60">
        <f t="shared" si="9"/>
        <v>-18279000</v>
      </c>
    </row>
    <row r="114" spans="1:7" ht="15">
      <c r="A114" s="59" t="s">
        <v>104</v>
      </c>
      <c r="B114" s="6">
        <v>0</v>
      </c>
      <c r="C114" s="31">
        <v>1225350000</v>
      </c>
      <c r="D114" s="31">
        <v>0</v>
      </c>
      <c r="E114" s="31">
        <f t="shared" si="10"/>
        <v>1225350000</v>
      </c>
      <c r="F114" s="16">
        <v>1</v>
      </c>
      <c r="G114" s="60">
        <f t="shared" si="9"/>
        <v>1225350000</v>
      </c>
    </row>
    <row r="115" spans="1:7" ht="15">
      <c r="A115" s="59" t="s">
        <v>110</v>
      </c>
      <c r="B115" s="6">
        <v>0</v>
      </c>
      <c r="C115" s="31">
        <v>150424620.12</v>
      </c>
      <c r="D115" s="31">
        <v>0</v>
      </c>
      <c r="E115" s="31">
        <f>C115+D115</f>
        <v>150424620.12</v>
      </c>
      <c r="F115" s="16">
        <v>1</v>
      </c>
      <c r="G115" s="60">
        <f>E115-B115</f>
        <v>150424620.12</v>
      </c>
    </row>
    <row r="116" spans="1:7" ht="15">
      <c r="A116" s="59" t="s">
        <v>74</v>
      </c>
      <c r="B116" s="6">
        <v>32713000</v>
      </c>
      <c r="C116" s="31">
        <v>115625421</v>
      </c>
      <c r="D116" s="31">
        <v>0</v>
      </c>
      <c r="E116" s="31">
        <f t="shared" si="10"/>
        <v>115625421</v>
      </c>
      <c r="F116" s="16">
        <f t="shared" si="8"/>
        <v>3.53454042735304</v>
      </c>
      <c r="G116" s="60">
        <f t="shared" si="9"/>
        <v>82912421</v>
      </c>
    </row>
    <row r="117" spans="1:7" ht="20.25" customHeight="1">
      <c r="A117" s="58" t="s">
        <v>75</v>
      </c>
      <c r="B117" s="5">
        <f>SUM(B108:B116)</f>
        <v>3379769000</v>
      </c>
      <c r="C117" s="32">
        <f>SUM(C108:C116)</f>
        <v>1558940041.12</v>
      </c>
      <c r="D117" s="32">
        <f>SUM(D108:D116)</f>
        <v>109372500</v>
      </c>
      <c r="E117" s="32">
        <f>SUM(E108:E116)</f>
        <v>1668312541.12</v>
      </c>
      <c r="F117" s="20">
        <f t="shared" si="8"/>
        <v>0.4936173274327328</v>
      </c>
      <c r="G117" s="60">
        <f t="shared" si="9"/>
        <v>-1711456458.88</v>
      </c>
    </row>
    <row r="118" spans="1:7" ht="21" customHeight="1">
      <c r="A118" s="65" t="s">
        <v>76</v>
      </c>
      <c r="B118" s="41">
        <f>B117+B104</f>
        <v>45897256000</v>
      </c>
      <c r="C118" s="42">
        <f>C117+C104</f>
        <v>19202262821.106663</v>
      </c>
      <c r="D118" s="42">
        <f>D117+D104</f>
        <v>3589107956</v>
      </c>
      <c r="E118" s="42">
        <f>E117+E104</f>
        <v>22791370777.106663</v>
      </c>
      <c r="F118" s="43">
        <f t="shared" si="8"/>
        <v>0.4965737118817444</v>
      </c>
      <c r="G118" s="66">
        <f t="shared" si="9"/>
        <v>-23105885222.893337</v>
      </c>
    </row>
    <row r="119" spans="1:7" ht="21" customHeight="1">
      <c r="A119" s="1"/>
      <c r="B119" s="5"/>
      <c r="C119" s="32"/>
      <c r="D119" s="32"/>
      <c r="E119" s="32"/>
      <c r="F119" s="20"/>
      <c r="G119" s="5"/>
    </row>
    <row r="120" spans="1:7" ht="20.25" customHeight="1">
      <c r="A120" s="93" t="s">
        <v>96</v>
      </c>
      <c r="B120" s="94"/>
      <c r="C120" s="92"/>
      <c r="D120" s="92"/>
      <c r="E120" s="92"/>
      <c r="F120" s="95"/>
      <c r="G120" s="96"/>
    </row>
    <row r="121" spans="1:7" ht="20.25" customHeight="1">
      <c r="A121" s="59" t="s">
        <v>95</v>
      </c>
      <c r="B121" s="6">
        <v>0</v>
      </c>
      <c r="C121" s="31">
        <v>0</v>
      </c>
      <c r="D121" s="31">
        <v>0</v>
      </c>
      <c r="E121" s="31">
        <f>C121+D121</f>
        <v>0</v>
      </c>
      <c r="F121" s="16">
        <v>1</v>
      </c>
      <c r="G121" s="60">
        <f>E121-B121</f>
        <v>0</v>
      </c>
    </row>
    <row r="122" spans="1:7" ht="17.25" customHeight="1">
      <c r="A122" s="59" t="s">
        <v>92</v>
      </c>
      <c r="B122" s="6">
        <v>0</v>
      </c>
      <c r="C122" s="31">
        <v>0</v>
      </c>
      <c r="D122" s="31">
        <v>0</v>
      </c>
      <c r="E122" s="31">
        <f>C122+D122</f>
        <v>0</v>
      </c>
      <c r="F122" s="16">
        <v>1</v>
      </c>
      <c r="G122" s="60">
        <f>E122-B122</f>
        <v>0</v>
      </c>
    </row>
    <row r="123" spans="1:7" ht="21" customHeight="1" thickBot="1">
      <c r="A123" s="93" t="s">
        <v>97</v>
      </c>
      <c r="B123" s="94">
        <f>SUM(B121:B122)</f>
        <v>0</v>
      </c>
      <c r="C123" s="94">
        <v>0</v>
      </c>
      <c r="D123" s="94">
        <f>SUM(D121:D122)</f>
        <v>0</v>
      </c>
      <c r="E123" s="42">
        <f>C123+D123</f>
        <v>0</v>
      </c>
      <c r="F123" s="43">
        <v>1</v>
      </c>
      <c r="G123" s="66">
        <f>E123-B123</f>
        <v>0</v>
      </c>
    </row>
    <row r="124" spans="1:7" ht="21" customHeight="1" thickBot="1">
      <c r="A124" s="49" t="s">
        <v>98</v>
      </c>
      <c r="B124" s="50">
        <f>B117+B123</f>
        <v>3379769000</v>
      </c>
      <c r="C124" s="50">
        <f>C117+C123</f>
        <v>1558940041.12</v>
      </c>
      <c r="D124" s="50">
        <f>D117+D123</f>
        <v>109372500</v>
      </c>
      <c r="E124" s="50">
        <f>E117+E123</f>
        <v>1668312541.12</v>
      </c>
      <c r="F124" s="51">
        <f>E124/B124*100%</f>
        <v>0.4936173274327328</v>
      </c>
      <c r="G124" s="52">
        <f>E124-B124</f>
        <v>-1711456458.88</v>
      </c>
    </row>
    <row r="125" spans="1:7" ht="28.5" customHeight="1" thickBot="1">
      <c r="A125" s="49" t="s">
        <v>77</v>
      </c>
      <c r="B125" s="50">
        <f>B118+B86+B123</f>
        <v>57307135000</v>
      </c>
      <c r="C125" s="50">
        <f>C118+C86+C123</f>
        <v>23505025621.47666</v>
      </c>
      <c r="D125" s="50">
        <f>D118+D86+D123</f>
        <v>4692728629.18</v>
      </c>
      <c r="E125" s="50">
        <f>E118+E86+E123</f>
        <v>28197754250.656662</v>
      </c>
      <c r="F125" s="51">
        <f>E125/B125*100%</f>
        <v>0.4920461344064166</v>
      </c>
      <c r="G125" s="52">
        <f>E125-B125</f>
        <v>-29109380749.343338</v>
      </c>
    </row>
    <row r="126" spans="3:5" ht="15">
      <c r="C126" s="122"/>
      <c r="E126" s="113"/>
    </row>
    <row r="127" spans="2:5" ht="15">
      <c r="B127" s="113"/>
      <c r="D127" s="113"/>
      <c r="E127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0">
      <selection activeCell="D66" sqref="D66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122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120</v>
      </c>
      <c r="D7" s="112" t="s">
        <v>125</v>
      </c>
      <c r="E7" s="75" t="s">
        <v>123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6000000</v>
      </c>
      <c r="D11" s="6">
        <v>1200000</v>
      </c>
      <c r="E11" s="6">
        <f>C11+D11</f>
        <v>7200000</v>
      </c>
      <c r="F11" s="16">
        <f>E11/B11*100%</f>
        <v>0.12371134020618557</v>
      </c>
      <c r="G11" s="60">
        <f>E11-B11</f>
        <v>-51000000</v>
      </c>
    </row>
    <row r="12" spans="1:7" ht="15.75">
      <c r="A12" s="61" t="s">
        <v>82</v>
      </c>
      <c r="B12" s="23">
        <v>32400000</v>
      </c>
      <c r="C12" s="6">
        <v>0</v>
      </c>
      <c r="D12" s="6">
        <v>2160000</v>
      </c>
      <c r="E12" s="6">
        <f>C12+D12</f>
        <v>2160000</v>
      </c>
      <c r="F12" s="16">
        <f>E12/B12*100%</f>
        <v>0.06666666666666667</v>
      </c>
      <c r="G12" s="60">
        <f>E12-B12</f>
        <v>-30240000</v>
      </c>
    </row>
    <row r="13" spans="1:7" ht="15">
      <c r="A13" s="58" t="s">
        <v>9</v>
      </c>
      <c r="B13" s="5">
        <f>SUM(B11:B12)</f>
        <v>90600000</v>
      </c>
      <c r="C13" s="5">
        <f>SUM(C11:C12)</f>
        <v>6000000</v>
      </c>
      <c r="D13" s="5">
        <f>SUM(D11:D12)</f>
        <v>3360000</v>
      </c>
      <c r="E13" s="5">
        <f>SUM(E11:E12)</f>
        <v>9360000</v>
      </c>
      <c r="F13" s="20">
        <f>E13/B13*100%</f>
        <v>0.10331125827814569</v>
      </c>
      <c r="G13" s="62">
        <f>E13-B13</f>
        <v>-81240000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400000</v>
      </c>
      <c r="D17" s="6">
        <v>0</v>
      </c>
      <c r="E17" s="6">
        <f>C17+D17</f>
        <v>400000</v>
      </c>
      <c r="F17" s="16">
        <f aca="true" t="shared" si="0" ref="F17:F25">E17/B17*100%</f>
        <v>0.013333333333333334</v>
      </c>
      <c r="G17" s="60">
        <f aca="true" t="shared" si="1" ref="G17:G25">E17-B17</f>
        <v>-29600000</v>
      </c>
    </row>
    <row r="18" spans="1:7" ht="15">
      <c r="A18" s="59" t="s">
        <v>12</v>
      </c>
      <c r="B18" s="23">
        <v>10000000</v>
      </c>
      <c r="C18" s="6">
        <v>2368953</v>
      </c>
      <c r="D18" s="6">
        <v>7210000</v>
      </c>
      <c r="E18" s="6">
        <f aca="true" t="shared" si="2" ref="E18:E25">C18+D18</f>
        <v>9578953</v>
      </c>
      <c r="F18" s="16">
        <f t="shared" si="0"/>
        <v>0.9578953</v>
      </c>
      <c r="G18" s="60">
        <f t="shared" si="1"/>
        <v>-421047</v>
      </c>
    </row>
    <row r="19" spans="1:7" ht="15">
      <c r="A19" s="59" t="s">
        <v>13</v>
      </c>
      <c r="B19" s="23">
        <v>40156000</v>
      </c>
      <c r="C19" s="6">
        <v>24035000</v>
      </c>
      <c r="D19" s="6">
        <v>970000</v>
      </c>
      <c r="E19" s="6">
        <f t="shared" si="2"/>
        <v>25005000</v>
      </c>
      <c r="F19" s="16">
        <f t="shared" si="0"/>
        <v>0.6226964837135173</v>
      </c>
      <c r="G19" s="60">
        <f t="shared" si="1"/>
        <v>-15151000</v>
      </c>
    </row>
    <row r="20" spans="1:7" ht="15">
      <c r="A20" s="59" t="s">
        <v>91</v>
      </c>
      <c r="B20" s="23">
        <v>1461910000</v>
      </c>
      <c r="C20" s="6">
        <v>842402779.1300001</v>
      </c>
      <c r="D20" s="6">
        <v>80984653.81</v>
      </c>
      <c r="E20" s="6">
        <f t="shared" si="2"/>
        <v>923387432.94</v>
      </c>
      <c r="F20" s="16">
        <f t="shared" si="0"/>
        <v>0.631630834278444</v>
      </c>
      <c r="G20" s="60">
        <f t="shared" si="1"/>
        <v>-538522567.06</v>
      </c>
    </row>
    <row r="21" spans="1:7" ht="15.75" customHeight="1">
      <c r="A21" s="59" t="s">
        <v>81</v>
      </c>
      <c r="B21" s="23">
        <v>14600000</v>
      </c>
      <c r="C21" s="6">
        <v>9282971.11</v>
      </c>
      <c r="D21" s="6">
        <v>1089000</v>
      </c>
      <c r="E21" s="6">
        <f t="shared" si="2"/>
        <v>10371971.11</v>
      </c>
      <c r="F21" s="16">
        <f t="shared" si="0"/>
        <v>0.7104089801369863</v>
      </c>
      <c r="G21" s="60">
        <f t="shared" si="1"/>
        <v>-4228028.890000001</v>
      </c>
    </row>
    <row r="22" spans="1:7" ht="15">
      <c r="A22" s="59" t="s">
        <v>14</v>
      </c>
      <c r="B22" s="23">
        <v>2616666835</v>
      </c>
      <c r="C22" s="6">
        <v>1425634768.23</v>
      </c>
      <c r="D22" s="6">
        <f>280960420.59+215353.6</f>
        <v>281175774.19</v>
      </c>
      <c r="E22" s="6">
        <f t="shared" si="2"/>
        <v>1706810542.42</v>
      </c>
      <c r="F22" s="16">
        <f t="shared" si="0"/>
        <v>0.6522842417651539</v>
      </c>
      <c r="G22" s="60">
        <f t="shared" si="1"/>
        <v>-909856292.5799999</v>
      </c>
    </row>
    <row r="23" spans="1:7" ht="15">
      <c r="A23" s="59" t="s">
        <v>15</v>
      </c>
      <c r="B23" s="23">
        <v>9600000</v>
      </c>
      <c r="C23" s="6">
        <v>5280000</v>
      </c>
      <c r="D23" s="6">
        <v>0</v>
      </c>
      <c r="E23" s="6">
        <f t="shared" si="2"/>
        <v>5280000</v>
      </c>
      <c r="F23" s="16">
        <f t="shared" si="0"/>
        <v>0.55</v>
      </c>
      <c r="G23" s="60">
        <f t="shared" si="1"/>
        <v>-4320000</v>
      </c>
    </row>
    <row r="24" spans="1:9" ht="15">
      <c r="A24" s="59" t="s">
        <v>16</v>
      </c>
      <c r="B24" s="23">
        <v>1396060000</v>
      </c>
      <c r="C24" s="6">
        <v>705153800</v>
      </c>
      <c r="D24" s="6">
        <v>194171600</v>
      </c>
      <c r="E24" s="6">
        <f t="shared" si="2"/>
        <v>899325400</v>
      </c>
      <c r="F24" s="16">
        <f t="shared" si="0"/>
        <v>0.6441882154062146</v>
      </c>
      <c r="G24" s="60">
        <f t="shared" si="1"/>
        <v>-496734600</v>
      </c>
      <c r="I24" s="113"/>
    </row>
    <row r="25" spans="1:7" ht="15">
      <c r="A25" s="58" t="s">
        <v>17</v>
      </c>
      <c r="B25" s="5">
        <f>SUM(B17:B24)</f>
        <v>5578992835</v>
      </c>
      <c r="C25" s="5">
        <f>SUM(C17:C24)</f>
        <v>3014558271.4700003</v>
      </c>
      <c r="D25" s="5">
        <f>SUM(D17:D24)</f>
        <v>565601028</v>
      </c>
      <c r="E25" s="5">
        <f t="shared" si="2"/>
        <v>3580159299.4700003</v>
      </c>
      <c r="F25" s="20">
        <f t="shared" si="0"/>
        <v>0.6417214370683092</v>
      </c>
      <c r="G25" s="62">
        <f t="shared" si="1"/>
        <v>-1998833535.5299997</v>
      </c>
    </row>
    <row r="26" spans="1:7" ht="15">
      <c r="A26" s="58"/>
      <c r="B26" s="5"/>
      <c r="C26" s="5"/>
      <c r="D26" s="5"/>
      <c r="E26" s="6"/>
      <c r="F26" s="16"/>
      <c r="G26" s="60"/>
    </row>
    <row r="27" spans="1:7" ht="15">
      <c r="A27" s="58" t="s">
        <v>18</v>
      </c>
      <c r="B27" s="12"/>
      <c r="C27" s="12"/>
      <c r="D27" s="12"/>
      <c r="E27" s="6"/>
      <c r="F27" s="16"/>
      <c r="G27" s="60"/>
    </row>
    <row r="28" spans="1:7" ht="15">
      <c r="A28" s="111" t="s">
        <v>12</v>
      </c>
      <c r="B28" s="23">
        <v>3000000</v>
      </c>
      <c r="C28" s="6">
        <v>400000</v>
      </c>
      <c r="D28" s="6">
        <v>1552000</v>
      </c>
      <c r="E28" s="6">
        <f>C28+D28</f>
        <v>1952000</v>
      </c>
      <c r="F28" s="16">
        <f>E28/B28*100%</f>
        <v>0.6506666666666666</v>
      </c>
      <c r="G28" s="60">
        <f>E28-B28</f>
        <v>-1048000</v>
      </c>
    </row>
    <row r="29" spans="1:7" ht="15">
      <c r="A29" s="58" t="s">
        <v>19</v>
      </c>
      <c r="B29" s="5">
        <f>SUM(B28)</f>
        <v>3000000</v>
      </c>
      <c r="C29" s="5">
        <f>SUM(C28)</f>
        <v>400000</v>
      </c>
      <c r="D29" s="5">
        <f>SUM(D28)</f>
        <v>1552000</v>
      </c>
      <c r="E29" s="5">
        <f>C29+D29</f>
        <v>1952000</v>
      </c>
      <c r="F29" s="20">
        <f>E29/B29*100%</f>
        <v>0.6506666666666666</v>
      </c>
      <c r="G29" s="62">
        <f>E29-B29</f>
        <v>-1048000</v>
      </c>
    </row>
    <row r="30" spans="1:7" ht="15">
      <c r="A30" s="58" t="s">
        <v>20</v>
      </c>
      <c r="B30" s="5">
        <f>B13+B25+B29</f>
        <v>5672592835</v>
      </c>
      <c r="C30" s="5">
        <f>C29+C25+C13</f>
        <v>3020958271.4700003</v>
      </c>
      <c r="D30" s="5">
        <f>D29+D25+D13</f>
        <v>570513028</v>
      </c>
      <c r="E30" s="5">
        <f>E29+E25+E13</f>
        <v>3591471299.4700003</v>
      </c>
      <c r="F30" s="20">
        <f>E30/B30*100%</f>
        <v>0.6331269322399729</v>
      </c>
      <c r="G30" s="62">
        <f>E30-B30</f>
        <v>-2081121535.5299997</v>
      </c>
    </row>
    <row r="31" spans="1:7" ht="15">
      <c r="A31" s="58"/>
      <c r="B31" s="5"/>
      <c r="C31" s="5"/>
      <c r="D31" s="5"/>
      <c r="E31" s="5"/>
      <c r="F31" s="20"/>
      <c r="G31" s="62"/>
    </row>
    <row r="32" spans="1:7" ht="15">
      <c r="A32" s="59"/>
      <c r="B32" s="6"/>
      <c r="C32" s="6"/>
      <c r="D32" s="6"/>
      <c r="E32" s="6"/>
      <c r="F32" s="16"/>
      <c r="G32" s="60"/>
    </row>
    <row r="33" spans="1:7" ht="15">
      <c r="A33" s="58" t="s">
        <v>21</v>
      </c>
      <c r="B33" s="4"/>
      <c r="C33" s="12"/>
      <c r="D33" s="110"/>
      <c r="E33" s="6"/>
      <c r="F33" s="16"/>
      <c r="G33" s="60"/>
    </row>
    <row r="34" spans="1:7" ht="15">
      <c r="A34" s="58" t="s">
        <v>22</v>
      </c>
      <c r="B34" s="4"/>
      <c r="C34" s="12"/>
      <c r="D34" s="12"/>
      <c r="E34" s="6"/>
      <c r="F34" s="16"/>
      <c r="G34" s="60"/>
    </row>
    <row r="35" spans="1:7" ht="15">
      <c r="A35" s="59" t="s">
        <v>23</v>
      </c>
      <c r="B35" s="23">
        <v>256200000</v>
      </c>
      <c r="C35" s="6">
        <v>112467950</v>
      </c>
      <c r="D35" s="6">
        <v>24906590</v>
      </c>
      <c r="E35" s="6">
        <f>C35+D35</f>
        <v>137374540</v>
      </c>
      <c r="F35" s="16">
        <f>E35/B35*100%</f>
        <v>0.5362003903200625</v>
      </c>
      <c r="G35" s="60">
        <f>E35-B35</f>
        <v>-118825460</v>
      </c>
    </row>
    <row r="36" spans="1:9" ht="15">
      <c r="A36" s="59" t="s">
        <v>24</v>
      </c>
      <c r="B36" s="23">
        <v>39600000</v>
      </c>
      <c r="C36" s="6">
        <v>2440485</v>
      </c>
      <c r="D36" s="6">
        <f>9715000-1100000</f>
        <v>8615000</v>
      </c>
      <c r="E36" s="6">
        <f>C36+D36</f>
        <v>11055485</v>
      </c>
      <c r="F36" s="16">
        <f>E36/B36*100%</f>
        <v>0.27917891414141416</v>
      </c>
      <c r="G36" s="60">
        <f>E36-B36</f>
        <v>-28544515</v>
      </c>
      <c r="I36" s="113"/>
    </row>
    <row r="37" spans="1:7" ht="15">
      <c r="A37" s="59" t="s">
        <v>101</v>
      </c>
      <c r="B37" s="23">
        <v>8000000</v>
      </c>
      <c r="C37" s="6">
        <v>0</v>
      </c>
      <c r="D37" s="6">
        <v>0</v>
      </c>
      <c r="E37" s="6">
        <f>C37+D37</f>
        <v>0</v>
      </c>
      <c r="F37" s="16">
        <f>E37/B37*100%</f>
        <v>0</v>
      </c>
      <c r="G37" s="60">
        <f>E37-B37</f>
        <v>-8000000</v>
      </c>
    </row>
    <row r="38" spans="1:7" ht="15">
      <c r="A38" s="59" t="s">
        <v>25</v>
      </c>
      <c r="B38" s="23">
        <v>208777000</v>
      </c>
      <c r="C38" s="36">
        <v>64468400</v>
      </c>
      <c r="D38" s="6">
        <v>10500000</v>
      </c>
      <c r="E38" s="6">
        <f>C38+D38</f>
        <v>74968400</v>
      </c>
      <c r="F38" s="16">
        <f>E38/B38*100%</f>
        <v>0.3590836155323623</v>
      </c>
      <c r="G38" s="60">
        <f>E38-B38</f>
        <v>-133808600</v>
      </c>
    </row>
    <row r="39" spans="1:7" ht="15">
      <c r="A39" s="58" t="s">
        <v>26</v>
      </c>
      <c r="B39" s="5">
        <f>SUM(B35:B38)</f>
        <v>512577000</v>
      </c>
      <c r="C39" s="5">
        <f>SUM(C35:C38)</f>
        <v>179376835</v>
      </c>
      <c r="D39" s="5">
        <f>SUM(D35:D38)</f>
        <v>44021590</v>
      </c>
      <c r="E39" s="5">
        <f>SUM(E35:E38)</f>
        <v>223398425</v>
      </c>
      <c r="F39" s="20">
        <f>E39/B39*100%</f>
        <v>0.4358338844700406</v>
      </c>
      <c r="G39" s="62">
        <f>E39-B39</f>
        <v>-289178575</v>
      </c>
    </row>
    <row r="40" spans="1:7" ht="15">
      <c r="A40" s="1"/>
      <c r="B40" s="5"/>
      <c r="C40" s="5"/>
      <c r="D40" s="5"/>
      <c r="E40" s="5"/>
      <c r="F40" s="20"/>
      <c r="G40" s="62"/>
    </row>
    <row r="41" spans="1:7" ht="15">
      <c r="A41" s="1" t="s">
        <v>27</v>
      </c>
      <c r="B41" s="12"/>
      <c r="C41" s="12"/>
      <c r="D41" s="12"/>
      <c r="E41" s="6"/>
      <c r="F41" s="16"/>
      <c r="G41" s="60"/>
    </row>
    <row r="42" spans="1:7" ht="15">
      <c r="A42" s="59" t="s">
        <v>28</v>
      </c>
      <c r="B42" s="23">
        <v>520410000</v>
      </c>
      <c r="C42" s="36">
        <v>387741000</v>
      </c>
      <c r="D42" s="36">
        <v>0</v>
      </c>
      <c r="E42" s="6">
        <f>C42+D42</f>
        <v>387741000</v>
      </c>
      <c r="F42" s="16">
        <f>E42/B42*100%</f>
        <v>0.7450683115236064</v>
      </c>
      <c r="G42" s="60">
        <f>E42-B42</f>
        <v>-132669000</v>
      </c>
    </row>
    <row r="43" spans="1:7" ht="15">
      <c r="A43" s="58" t="s">
        <v>29</v>
      </c>
      <c r="B43" s="5">
        <f>SUM(B42)</f>
        <v>520410000</v>
      </c>
      <c r="C43" s="5">
        <f>SUM(C42)</f>
        <v>387741000</v>
      </c>
      <c r="D43" s="5">
        <f>SUM(D42)</f>
        <v>0</v>
      </c>
      <c r="E43" s="5">
        <f>SUM(E42)</f>
        <v>387741000</v>
      </c>
      <c r="F43" s="20">
        <f>E43/B43*100%</f>
        <v>0.7450683115236064</v>
      </c>
      <c r="G43" s="62">
        <f>E43-B43</f>
        <v>-132669000</v>
      </c>
    </row>
    <row r="44" spans="1:9" ht="15">
      <c r="A44" s="59"/>
      <c r="B44" s="6"/>
      <c r="C44" s="6"/>
      <c r="D44" s="6"/>
      <c r="E44" s="6"/>
      <c r="F44" s="16"/>
      <c r="G44" s="60"/>
      <c r="I44" s="125"/>
    </row>
    <row r="45" spans="1:7" ht="15">
      <c r="A45" s="58" t="s">
        <v>30</v>
      </c>
      <c r="B45" s="12"/>
      <c r="C45" s="12"/>
      <c r="D45" s="12"/>
      <c r="E45" s="86"/>
      <c r="F45" s="16"/>
      <c r="G45" s="60"/>
    </row>
    <row r="46" spans="1:7" ht="15">
      <c r="A46" s="59" t="s">
        <v>31</v>
      </c>
      <c r="B46" s="23">
        <v>147700000</v>
      </c>
      <c r="C46" s="6">
        <v>104350000</v>
      </c>
      <c r="D46" s="6">
        <v>12500000</v>
      </c>
      <c r="E46" s="6">
        <f>C46+D46</f>
        <v>116850000</v>
      </c>
      <c r="F46" s="20">
        <f>E46/B46*100%</f>
        <v>0.7911306702775897</v>
      </c>
      <c r="G46" s="62">
        <f>E46-B46</f>
        <v>-30850000</v>
      </c>
    </row>
    <row r="47" spans="1:7" ht="15.75">
      <c r="A47" s="61" t="s">
        <v>83</v>
      </c>
      <c r="B47" s="23">
        <v>12000000</v>
      </c>
      <c r="C47" s="6">
        <v>11900000</v>
      </c>
      <c r="D47" s="6">
        <f>400000+1100000</f>
        <v>1500000</v>
      </c>
      <c r="E47" s="6">
        <f>C47+D47</f>
        <v>13400000</v>
      </c>
      <c r="F47" s="20">
        <f>E47/B47*100%</f>
        <v>1.1166666666666667</v>
      </c>
      <c r="G47" s="62">
        <f>E47-B47</f>
        <v>1400000</v>
      </c>
    </row>
    <row r="48" spans="1:7" ht="15">
      <c r="A48" s="58" t="s">
        <v>32</v>
      </c>
      <c r="B48" s="5">
        <f>SUM(B46:B47)</f>
        <v>159700000</v>
      </c>
      <c r="C48" s="5">
        <f>SUM(C46:C47)</f>
        <v>116250000</v>
      </c>
      <c r="D48" s="5">
        <f>SUM(D46:D47)</f>
        <v>14000000</v>
      </c>
      <c r="E48" s="5">
        <f>SUM(E46:E47)</f>
        <v>130250000</v>
      </c>
      <c r="F48" s="20">
        <f>E48/B48*100%</f>
        <v>0.8155917345021916</v>
      </c>
      <c r="G48" s="62">
        <f>E48-B48</f>
        <v>-29450000</v>
      </c>
    </row>
    <row r="49" spans="1:7" ht="15">
      <c r="A49" s="59"/>
      <c r="B49" s="6"/>
      <c r="C49" s="6"/>
      <c r="D49" s="6"/>
      <c r="E49" s="6"/>
      <c r="F49" s="16"/>
      <c r="G49" s="60"/>
    </row>
    <row r="50" spans="1:7" ht="15">
      <c r="A50" s="58" t="s">
        <v>33</v>
      </c>
      <c r="B50" s="12"/>
      <c r="C50" s="12"/>
      <c r="D50" s="18"/>
      <c r="E50" s="6"/>
      <c r="F50" s="16"/>
      <c r="G50" s="60"/>
    </row>
    <row r="51" spans="1:7" ht="15">
      <c r="A51" s="59" t="s">
        <v>34</v>
      </c>
      <c r="B51" s="23">
        <v>15000000</v>
      </c>
      <c r="C51" s="6">
        <v>3450000</v>
      </c>
      <c r="D51" s="6">
        <f>510000+480000+1320000+3000000</f>
        <v>5310000</v>
      </c>
      <c r="E51" s="6">
        <f>C51+D51</f>
        <v>8760000</v>
      </c>
      <c r="F51" s="16">
        <f>E51/B51*100%</f>
        <v>0.584</v>
      </c>
      <c r="G51" s="60">
        <f>E51-B51</f>
        <v>-6240000</v>
      </c>
    </row>
    <row r="52" spans="1:9" ht="15">
      <c r="A52" s="59" t="s">
        <v>35</v>
      </c>
      <c r="B52" s="23">
        <v>40000000</v>
      </c>
      <c r="C52" s="6">
        <v>36540000</v>
      </c>
      <c r="D52" s="6">
        <v>2500000</v>
      </c>
      <c r="E52" s="6">
        <f>C52+D52</f>
        <v>39040000</v>
      </c>
      <c r="F52" s="16">
        <f>E52/B52*100%</f>
        <v>0.976</v>
      </c>
      <c r="G52" s="60">
        <f>E52-B52</f>
        <v>-960000</v>
      </c>
      <c r="I52" s="125"/>
    </row>
    <row r="53" spans="1:9" ht="15">
      <c r="A53" s="58" t="s">
        <v>36</v>
      </c>
      <c r="B53" s="5">
        <f>SUM(B51:B52)</f>
        <v>55000000</v>
      </c>
      <c r="C53" s="5">
        <f>SUM(C51:C52)</f>
        <v>39990000</v>
      </c>
      <c r="D53" s="5">
        <f>SUM(D51:D52)</f>
        <v>7810000</v>
      </c>
      <c r="E53" s="5">
        <f>SUM(E51:E52)</f>
        <v>47800000</v>
      </c>
      <c r="F53" s="20">
        <f>E53/B53*100%</f>
        <v>0.8690909090909091</v>
      </c>
      <c r="G53" s="62">
        <f>E53-B53</f>
        <v>-7200000</v>
      </c>
      <c r="I53" s="88"/>
    </row>
    <row r="54" spans="1:7" ht="15">
      <c r="A54" s="58"/>
      <c r="B54" s="5"/>
      <c r="C54" s="5">
        <v>0</v>
      </c>
      <c r="D54" s="5"/>
      <c r="E54" s="5"/>
      <c r="F54" s="16"/>
      <c r="G54" s="60"/>
    </row>
    <row r="55" spans="1:9" ht="15">
      <c r="A55" s="58" t="s">
        <v>84</v>
      </c>
      <c r="B55" s="5"/>
      <c r="C55" s="5"/>
      <c r="D55" s="5"/>
      <c r="E55" s="5"/>
      <c r="F55" s="16"/>
      <c r="G55" s="60"/>
      <c r="I55" s="125"/>
    </row>
    <row r="56" spans="1:9" ht="15.75">
      <c r="A56" s="61" t="s">
        <v>85</v>
      </c>
      <c r="B56" s="23">
        <v>8100000</v>
      </c>
      <c r="C56" s="6">
        <v>4960000</v>
      </c>
      <c r="D56" s="6">
        <v>2510000</v>
      </c>
      <c r="E56" s="6">
        <f>C56+D56</f>
        <v>7470000</v>
      </c>
      <c r="F56" s="16">
        <f>E56/B56*100%</f>
        <v>0.9222222222222223</v>
      </c>
      <c r="G56" s="60">
        <f>E56-B56</f>
        <v>-630000</v>
      </c>
      <c r="I56" s="88"/>
    </row>
    <row r="57" spans="1:7" ht="15.75">
      <c r="A57" s="63" t="s">
        <v>86</v>
      </c>
      <c r="B57" s="24">
        <f>SUM(B56)</f>
        <v>8100000</v>
      </c>
      <c r="C57" s="37">
        <f>SUM(C56)</f>
        <v>4960000</v>
      </c>
      <c r="D57" s="37">
        <f>SUM(D56)</f>
        <v>2510000</v>
      </c>
      <c r="E57" s="37">
        <f>SUM(E56)</f>
        <v>7470000</v>
      </c>
      <c r="F57" s="20">
        <f>E57/B57*100%</f>
        <v>0.9222222222222223</v>
      </c>
      <c r="G57" s="60">
        <f>E57-B57</f>
        <v>-630000</v>
      </c>
    </row>
    <row r="58" spans="1:7" ht="15">
      <c r="A58" s="59"/>
      <c r="B58" s="6"/>
      <c r="C58" s="6"/>
      <c r="D58" s="6"/>
      <c r="E58" s="6"/>
      <c r="F58" s="16"/>
      <c r="G58" s="60"/>
    </row>
    <row r="59" spans="1:9" ht="26.25">
      <c r="A59" s="64" t="s">
        <v>37</v>
      </c>
      <c r="B59" s="5">
        <f>B39+B43+B48+B53+B57</f>
        <v>1255787000</v>
      </c>
      <c r="C59" s="5">
        <f>C53+C48+C43+C39+C57</f>
        <v>728317835</v>
      </c>
      <c r="D59" s="5">
        <f>D53+D48+D43+D39+D57</f>
        <v>68341590</v>
      </c>
      <c r="E59" s="5">
        <f>E53+E48+E43+E39+E57</f>
        <v>796659425</v>
      </c>
      <c r="F59" s="20">
        <f>E59/B59*100%</f>
        <v>0.6343905654382471</v>
      </c>
      <c r="G59" s="62">
        <f>E59-B59</f>
        <v>-459127575</v>
      </c>
      <c r="I59" s="88"/>
    </row>
    <row r="60" spans="1:9" ht="15">
      <c r="A60" s="64"/>
      <c r="B60" s="5"/>
      <c r="C60" s="5"/>
      <c r="D60" s="5"/>
      <c r="E60" s="5"/>
      <c r="F60" s="20"/>
      <c r="G60" s="62"/>
      <c r="I60" s="125"/>
    </row>
    <row r="61" spans="1:7" ht="15">
      <c r="A61" s="64"/>
      <c r="B61" s="5"/>
      <c r="C61" s="5"/>
      <c r="D61" s="5"/>
      <c r="E61" s="5"/>
      <c r="F61" s="20"/>
      <c r="G61" s="62"/>
    </row>
    <row r="62" spans="1:7" ht="15">
      <c r="A62" s="58" t="s">
        <v>38</v>
      </c>
      <c r="B62" s="4"/>
      <c r="C62" s="12"/>
      <c r="D62" s="18"/>
      <c r="E62" s="6"/>
      <c r="F62" s="16"/>
      <c r="G62" s="60"/>
    </row>
    <row r="63" spans="1:7" ht="15">
      <c r="A63" s="58" t="s">
        <v>39</v>
      </c>
      <c r="B63" s="4"/>
      <c r="C63" s="12"/>
      <c r="D63" s="18"/>
      <c r="E63" s="6"/>
      <c r="F63" s="16"/>
      <c r="G63" s="60"/>
    </row>
    <row r="64" spans="1:7" ht="15">
      <c r="A64" s="59" t="s">
        <v>40</v>
      </c>
      <c r="B64" s="23">
        <v>650040000</v>
      </c>
      <c r="C64" s="6">
        <v>279010136.08</v>
      </c>
      <c r="D64" s="6">
        <v>78543000</v>
      </c>
      <c r="E64" s="6">
        <f>C64+D64</f>
        <v>357553136.08</v>
      </c>
      <c r="F64" s="16">
        <f aca="true" t="shared" si="3" ref="F64:F69">E64/B64*100%</f>
        <v>0.5500478987139252</v>
      </c>
      <c r="G64" s="60">
        <f aca="true" t="shared" si="4" ref="G64:G69">E64-B64</f>
        <v>-292486863.92</v>
      </c>
    </row>
    <row r="65" spans="1:7" ht="15">
      <c r="A65" s="59" t="s">
        <v>41</v>
      </c>
      <c r="B65" s="23">
        <v>192000000</v>
      </c>
      <c r="C65" s="6">
        <v>148090000</v>
      </c>
      <c r="D65" s="6">
        <v>16156000</v>
      </c>
      <c r="E65" s="6">
        <f>C65+D65</f>
        <v>164246000</v>
      </c>
      <c r="F65" s="16">
        <f t="shared" si="3"/>
        <v>0.8554479166666666</v>
      </c>
      <c r="G65" s="60">
        <f t="shared" si="4"/>
        <v>-27754000</v>
      </c>
    </row>
    <row r="66" spans="1:7" ht="15">
      <c r="A66" s="59" t="s">
        <v>42</v>
      </c>
      <c r="B66" s="23">
        <v>589200000</v>
      </c>
      <c r="C66" s="6">
        <v>400932000</v>
      </c>
      <c r="D66" s="6">
        <v>44707000</v>
      </c>
      <c r="E66" s="6">
        <f>C66+D66</f>
        <v>445639000</v>
      </c>
      <c r="F66" s="16">
        <f t="shared" si="3"/>
        <v>0.7563458927359131</v>
      </c>
      <c r="G66" s="60">
        <f t="shared" si="4"/>
        <v>-143561000</v>
      </c>
    </row>
    <row r="67" spans="1:7" ht="15">
      <c r="A67" s="59" t="s">
        <v>43</v>
      </c>
      <c r="B67" s="23">
        <v>20400000</v>
      </c>
      <c r="C67" s="6">
        <v>12906000</v>
      </c>
      <c r="D67" s="6">
        <v>1699000</v>
      </c>
      <c r="E67" s="6">
        <f>C67+D67</f>
        <v>14605000</v>
      </c>
      <c r="F67" s="16">
        <f t="shared" si="3"/>
        <v>0.7159313725490196</v>
      </c>
      <c r="G67" s="60">
        <f t="shared" si="4"/>
        <v>-5795000</v>
      </c>
    </row>
    <row r="68" spans="1:7" ht="15.75">
      <c r="A68" s="61" t="s">
        <v>87</v>
      </c>
      <c r="B68" s="23">
        <v>10800000</v>
      </c>
      <c r="C68" s="6">
        <v>8650000</v>
      </c>
      <c r="D68" s="6">
        <v>1250000</v>
      </c>
      <c r="E68" s="6">
        <f>C68+D68</f>
        <v>9900000</v>
      </c>
      <c r="F68" s="16">
        <f t="shared" si="3"/>
        <v>0.9166666666666666</v>
      </c>
      <c r="G68" s="60">
        <f t="shared" si="4"/>
        <v>-900000</v>
      </c>
    </row>
    <row r="69" spans="1:7" ht="15">
      <c r="A69" s="58" t="s">
        <v>93</v>
      </c>
      <c r="B69" s="5">
        <f>SUM(B64:B68)</f>
        <v>1462440000</v>
      </c>
      <c r="C69" s="5">
        <f>SUM(C64:C68)</f>
        <v>849588136.0799999</v>
      </c>
      <c r="D69" s="5">
        <f>SUM(D64:D68)</f>
        <v>142355000</v>
      </c>
      <c r="E69" s="5">
        <f>SUM(E64:E68)</f>
        <v>991943136.0799999</v>
      </c>
      <c r="F69" s="20">
        <f t="shared" si="3"/>
        <v>0.678279543830858</v>
      </c>
      <c r="G69" s="62">
        <f t="shared" si="4"/>
        <v>-470496863.9200001</v>
      </c>
    </row>
    <row r="70" spans="1:7" ht="15">
      <c r="A70" s="58"/>
      <c r="B70" s="5"/>
      <c r="C70" s="5"/>
      <c r="D70" s="5"/>
      <c r="E70" s="5"/>
      <c r="F70" s="20"/>
      <c r="G70" s="62"/>
    </row>
    <row r="71" spans="1:7" ht="15.75" thickBot="1">
      <c r="A71" s="81"/>
      <c r="B71" s="82"/>
      <c r="C71" s="82"/>
      <c r="D71" s="82"/>
      <c r="E71" s="82"/>
      <c r="F71" s="83"/>
      <c r="G71" s="84"/>
    </row>
    <row r="72" spans="1:7" ht="15">
      <c r="A72" s="67" t="s">
        <v>44</v>
      </c>
      <c r="B72" s="80"/>
      <c r="C72" s="44"/>
      <c r="D72" s="44"/>
      <c r="E72" s="48"/>
      <c r="F72" s="47"/>
      <c r="G72" s="68"/>
    </row>
    <row r="73" spans="1:7" ht="15">
      <c r="A73" s="58" t="s">
        <v>45</v>
      </c>
      <c r="B73" s="4"/>
      <c r="C73" s="12"/>
      <c r="D73" s="18"/>
      <c r="E73" s="6"/>
      <c r="F73" s="16"/>
      <c r="G73" s="60"/>
    </row>
    <row r="74" spans="1:7" ht="15">
      <c r="A74" s="59" t="s">
        <v>46</v>
      </c>
      <c r="B74" s="23">
        <v>462215165</v>
      </c>
      <c r="C74" s="6">
        <v>500000000</v>
      </c>
      <c r="D74" s="6">
        <v>0</v>
      </c>
      <c r="E74" s="6">
        <f>C74+D74</f>
        <v>500000000</v>
      </c>
      <c r="F74" s="16">
        <f>E74/B74*100%</f>
        <v>1.0817472853795267</v>
      </c>
      <c r="G74" s="60">
        <f>E74-B74</f>
        <v>37784835</v>
      </c>
    </row>
    <row r="75" spans="1:7" ht="15">
      <c r="A75" s="59" t="s">
        <v>47</v>
      </c>
      <c r="B75" s="23">
        <v>384000000</v>
      </c>
      <c r="C75" s="6">
        <v>0</v>
      </c>
      <c r="D75" s="6">
        <v>0</v>
      </c>
      <c r="E75" s="6">
        <f>C75+D75</f>
        <v>0</v>
      </c>
      <c r="F75" s="16">
        <f>E75/B75*100%</f>
        <v>0</v>
      </c>
      <c r="G75" s="60">
        <f>E75-B75</f>
        <v>-384000000</v>
      </c>
    </row>
    <row r="76" spans="1:7" ht="15">
      <c r="A76" s="58" t="s">
        <v>48</v>
      </c>
      <c r="B76" s="5">
        <f>SUM(B74:B75)</f>
        <v>846215165</v>
      </c>
      <c r="C76" s="5">
        <f>SUM(C74:C75)</f>
        <v>500000000</v>
      </c>
      <c r="D76" s="5">
        <f>SUM(D74:D75)</f>
        <v>0</v>
      </c>
      <c r="E76" s="5">
        <f>SUM(E74:E75)</f>
        <v>500000000</v>
      </c>
      <c r="F76" s="20">
        <f>E76/B76*100%</f>
        <v>0.5908662721732244</v>
      </c>
      <c r="G76" s="62">
        <f>E76-B76</f>
        <v>-346215165</v>
      </c>
    </row>
    <row r="77" spans="1:7" ht="15">
      <c r="A77" s="58"/>
      <c r="B77" s="5"/>
      <c r="C77" s="5"/>
      <c r="D77" s="5"/>
      <c r="E77" s="5"/>
      <c r="F77" s="20"/>
      <c r="G77" s="62"/>
    </row>
    <row r="78" spans="1:7" ht="15">
      <c r="A78" s="58" t="s">
        <v>49</v>
      </c>
      <c r="B78" s="6"/>
      <c r="C78" s="6"/>
      <c r="D78" s="6"/>
      <c r="E78" s="6"/>
      <c r="F78" s="16"/>
      <c r="G78" s="60"/>
    </row>
    <row r="79" spans="1:9" ht="15">
      <c r="A79" s="59" t="s">
        <v>50</v>
      </c>
      <c r="B79" s="7">
        <v>2172844000</v>
      </c>
      <c r="C79" s="30">
        <v>307519231</v>
      </c>
      <c r="D79" s="30">
        <v>98875345</v>
      </c>
      <c r="E79" s="31">
        <f>C79+D79</f>
        <v>406394576</v>
      </c>
      <c r="F79" s="16">
        <f>E79/B79*100%</f>
        <v>0.1870334805443925</v>
      </c>
      <c r="G79" s="60">
        <f>E79-B79</f>
        <v>-1766449424</v>
      </c>
      <c r="I79" s="88"/>
    </row>
    <row r="80" spans="1:7" ht="15">
      <c r="A80" s="64" t="s">
        <v>94</v>
      </c>
      <c r="B80" s="25">
        <f>B79</f>
        <v>2172844000</v>
      </c>
      <c r="C80" s="25">
        <f>C79</f>
        <v>307519231</v>
      </c>
      <c r="D80" s="118">
        <f>D79</f>
        <v>98875345</v>
      </c>
      <c r="E80" s="25">
        <f>E79</f>
        <v>406394576</v>
      </c>
      <c r="F80" s="20">
        <f>E80/B80*100%</f>
        <v>0.1870334805443925</v>
      </c>
      <c r="G80" s="62">
        <f>E80-B80</f>
        <v>-1766449424</v>
      </c>
    </row>
    <row r="81" spans="1:7" ht="15">
      <c r="A81" s="64"/>
      <c r="B81" s="26"/>
      <c r="C81" s="29"/>
      <c r="D81" s="38"/>
      <c r="E81" s="38"/>
      <c r="F81" s="20"/>
      <c r="G81" s="62"/>
    </row>
    <row r="82" spans="1:7" ht="26.25">
      <c r="A82" s="64" t="s">
        <v>51</v>
      </c>
      <c r="B82" s="5">
        <f>B80+B76</f>
        <v>3019059165</v>
      </c>
      <c r="C82" s="32">
        <f>C80+C76</f>
        <v>807519231</v>
      </c>
      <c r="D82" s="32">
        <f>D80+D76</f>
        <v>98875345</v>
      </c>
      <c r="E82" s="32">
        <f>E80+E76</f>
        <v>906394576</v>
      </c>
      <c r="F82" s="20">
        <f>E82/B82*100%</f>
        <v>0.3002241845763894</v>
      </c>
      <c r="G82" s="62">
        <f>E82-B82</f>
        <v>-2112664589</v>
      </c>
    </row>
    <row r="83" spans="1:7" ht="15">
      <c r="A83" s="58"/>
      <c r="B83" s="5"/>
      <c r="C83" s="32"/>
      <c r="D83" s="32"/>
      <c r="E83" s="31"/>
      <c r="F83" s="20"/>
      <c r="G83" s="62"/>
    </row>
    <row r="84" spans="1:7" ht="15">
      <c r="A84" s="58" t="s">
        <v>52</v>
      </c>
      <c r="B84" s="5">
        <f>B69+B76+B80</f>
        <v>4481499165</v>
      </c>
      <c r="C84" s="32">
        <f>C82+C69</f>
        <v>1657107367.08</v>
      </c>
      <c r="D84" s="32">
        <f>D82+D69</f>
        <v>241230345</v>
      </c>
      <c r="E84" s="32">
        <f>E82+E69</f>
        <v>1898337712.08</v>
      </c>
      <c r="F84" s="20">
        <f>E84/B84*100%</f>
        <v>0.4235943469332321</v>
      </c>
      <c r="G84" s="62">
        <f>E84-B84</f>
        <v>-2583161452.92</v>
      </c>
    </row>
    <row r="85" spans="1:7" ht="15">
      <c r="A85" s="58"/>
      <c r="B85" s="5"/>
      <c r="C85" s="32"/>
      <c r="D85" s="32"/>
      <c r="E85" s="31"/>
      <c r="F85" s="16"/>
      <c r="G85" s="60"/>
    </row>
    <row r="86" spans="1:7" ht="15">
      <c r="A86" s="58" t="s">
        <v>53</v>
      </c>
      <c r="B86" s="5">
        <f>B84+B59+B30</f>
        <v>11409879000</v>
      </c>
      <c r="C86" s="32">
        <f>C84+C59+C30</f>
        <v>5406383473.55</v>
      </c>
      <c r="D86" s="32">
        <f>D84+D59+D30</f>
        <v>880084963</v>
      </c>
      <c r="E86" s="32">
        <f>E84+E59+E30</f>
        <v>6286468436.55</v>
      </c>
      <c r="F86" s="20">
        <f>E86/B86*100%</f>
        <v>0.5509671431704053</v>
      </c>
      <c r="G86" s="62">
        <f>E86-B86</f>
        <v>-5123410563.45</v>
      </c>
    </row>
    <row r="87" spans="1:7" ht="15">
      <c r="A87" s="1"/>
      <c r="B87" s="5"/>
      <c r="C87" s="32"/>
      <c r="D87" s="32"/>
      <c r="E87" s="32"/>
      <c r="F87" s="20"/>
      <c r="G87" s="5"/>
    </row>
    <row r="88" spans="1:9" ht="15">
      <c r="A88" s="67" t="s">
        <v>54</v>
      </c>
      <c r="B88" s="78"/>
      <c r="C88" s="45"/>
      <c r="D88" s="45"/>
      <c r="E88" s="79"/>
      <c r="F88" s="47"/>
      <c r="G88" s="68"/>
      <c r="I88" s="126"/>
    </row>
    <row r="89" spans="1:9" ht="15">
      <c r="A89" s="58" t="s">
        <v>55</v>
      </c>
      <c r="B89" s="4"/>
      <c r="C89" s="123"/>
      <c r="D89" s="33"/>
      <c r="E89" s="32"/>
      <c r="F89" s="16"/>
      <c r="G89" s="60"/>
      <c r="I89" s="126"/>
    </row>
    <row r="90" spans="1:7" ht="15">
      <c r="A90" s="58" t="s">
        <v>56</v>
      </c>
      <c r="B90" s="12"/>
      <c r="C90" s="39"/>
      <c r="D90" s="39"/>
      <c r="E90" s="32"/>
      <c r="F90" s="16"/>
      <c r="G90" s="60"/>
    </row>
    <row r="91" spans="1:9" ht="15">
      <c r="A91" s="59" t="s">
        <v>80</v>
      </c>
      <c r="B91" s="18">
        <f>670523000+42088000</f>
        <v>712611000</v>
      </c>
      <c r="C91" s="40">
        <v>630122000</v>
      </c>
      <c r="D91" s="40">
        <v>11834000</v>
      </c>
      <c r="E91" s="40">
        <f>C91+D91</f>
        <v>641956000</v>
      </c>
      <c r="F91" s="16">
        <f>E91/B91*100%</f>
        <v>0.9008505341623971</v>
      </c>
      <c r="G91" s="60">
        <f>E91-B91</f>
        <v>-70655000</v>
      </c>
      <c r="I91" s="88"/>
    </row>
    <row r="92" spans="1:9" ht="15">
      <c r="A92" s="59" t="s">
        <v>57</v>
      </c>
      <c r="B92" s="6">
        <v>333315000</v>
      </c>
      <c r="C92" s="40">
        <v>101701000</v>
      </c>
      <c r="D92" s="40">
        <f>25376000+2400000</f>
        <v>27776000</v>
      </c>
      <c r="E92" s="40">
        <f aca="true" t="shared" si="5" ref="E92:E97">C92+D92</f>
        <v>129477000</v>
      </c>
      <c r="F92" s="16">
        <f aca="true" t="shared" si="6" ref="F92:F98">E92/B92*100%</f>
        <v>0.3884523648800684</v>
      </c>
      <c r="G92" s="60">
        <f aca="true" t="shared" si="7" ref="G92:G98">E92-B92</f>
        <v>-203838000</v>
      </c>
      <c r="I92" s="121"/>
    </row>
    <row r="93" spans="1:9" ht="15">
      <c r="A93" s="59" t="s">
        <v>58</v>
      </c>
      <c r="B93" s="17">
        <v>1099360000</v>
      </c>
      <c r="C93" s="40">
        <v>242467000</v>
      </c>
      <c r="D93" s="40">
        <f>18105000+3716000+46385000</f>
        <v>68206000</v>
      </c>
      <c r="E93" s="40">
        <f t="shared" si="5"/>
        <v>310673000</v>
      </c>
      <c r="F93" s="16">
        <f t="shared" si="6"/>
        <v>0.2825944185708048</v>
      </c>
      <c r="G93" s="60">
        <f t="shared" si="7"/>
        <v>-788687000</v>
      </c>
      <c r="I93" s="87"/>
    </row>
    <row r="94" spans="1:9" ht="15">
      <c r="A94" s="59" t="s">
        <v>59</v>
      </c>
      <c r="B94" s="17">
        <v>1647264000</v>
      </c>
      <c r="C94" s="40">
        <v>1031483000</v>
      </c>
      <c r="D94" s="40">
        <f>10660000+9094000+93249000+85165000</f>
        <v>198168000</v>
      </c>
      <c r="E94" s="40">
        <f t="shared" si="5"/>
        <v>1229651000</v>
      </c>
      <c r="F94" s="16">
        <f t="shared" si="6"/>
        <v>0.7464808312450221</v>
      </c>
      <c r="G94" s="60">
        <f t="shared" si="7"/>
        <v>-417613000</v>
      </c>
      <c r="I94" s="87"/>
    </row>
    <row r="95" spans="1:9" ht="15">
      <c r="A95" s="59" t="s">
        <v>60</v>
      </c>
      <c r="B95" s="17">
        <f>24982000+5421000</f>
        <v>30403000</v>
      </c>
      <c r="C95" s="40">
        <v>1808000</v>
      </c>
      <c r="D95" s="40">
        <v>904000</v>
      </c>
      <c r="E95" s="40">
        <f t="shared" si="5"/>
        <v>2712000</v>
      </c>
      <c r="F95" s="16">
        <f t="shared" si="6"/>
        <v>0.08920172351412689</v>
      </c>
      <c r="G95" s="60">
        <f t="shared" si="7"/>
        <v>-27691000</v>
      </c>
      <c r="I95" s="125"/>
    </row>
    <row r="96" spans="1:7" ht="15">
      <c r="A96" s="59" t="s">
        <v>61</v>
      </c>
      <c r="B96" s="17">
        <v>27938000</v>
      </c>
      <c r="C96" s="40">
        <v>3492000</v>
      </c>
      <c r="D96" s="40">
        <v>1164000</v>
      </c>
      <c r="E96" s="40">
        <f t="shared" si="5"/>
        <v>4656000</v>
      </c>
      <c r="F96" s="16">
        <f t="shared" si="6"/>
        <v>0.16665473548571838</v>
      </c>
      <c r="G96" s="60">
        <f t="shared" si="7"/>
        <v>-23282000</v>
      </c>
    </row>
    <row r="97" spans="1:7" ht="15">
      <c r="A97" s="59" t="s">
        <v>62</v>
      </c>
      <c r="B97" s="17">
        <v>17132000</v>
      </c>
      <c r="C97" s="40">
        <v>2382000</v>
      </c>
      <c r="D97" s="40">
        <v>0</v>
      </c>
      <c r="E97" s="40">
        <f t="shared" si="5"/>
        <v>2382000</v>
      </c>
      <c r="F97" s="16">
        <f t="shared" si="6"/>
        <v>0.13903805743637637</v>
      </c>
      <c r="G97" s="60">
        <f t="shared" si="7"/>
        <v>-14750000</v>
      </c>
    </row>
    <row r="98" spans="1:9" ht="15">
      <c r="A98" s="65" t="s">
        <v>63</v>
      </c>
      <c r="B98" s="41">
        <f>SUM(B91:B97)</f>
        <v>3868023000</v>
      </c>
      <c r="C98" s="42">
        <f>SUM(C91:C97)</f>
        <v>2013455000</v>
      </c>
      <c r="D98" s="42">
        <f>SUM(D91:D97)</f>
        <v>308052000</v>
      </c>
      <c r="E98" s="42">
        <f>SUM(E91:E97)</f>
        <v>2321507000</v>
      </c>
      <c r="F98" s="43">
        <f t="shared" si="6"/>
        <v>0.600179212998475</v>
      </c>
      <c r="G98" s="66">
        <f t="shared" si="7"/>
        <v>-1546516000</v>
      </c>
      <c r="I98" s="125"/>
    </row>
    <row r="99" spans="1:9" ht="15">
      <c r="A99" s="58"/>
      <c r="B99" s="5"/>
      <c r="C99" s="32"/>
      <c r="D99" s="32"/>
      <c r="E99" s="32"/>
      <c r="F99" s="20"/>
      <c r="G99" s="62"/>
      <c r="I99" s="88"/>
    </row>
    <row r="100" spans="1:7" ht="15">
      <c r="A100" s="67" t="s">
        <v>64</v>
      </c>
      <c r="B100" s="44"/>
      <c r="C100" s="45"/>
      <c r="D100" s="45"/>
      <c r="E100" s="46"/>
      <c r="F100" s="47"/>
      <c r="G100" s="68"/>
    </row>
    <row r="101" spans="1:9" ht="15">
      <c r="A101" s="59" t="s">
        <v>65</v>
      </c>
      <c r="B101" s="6">
        <v>38649464000</v>
      </c>
      <c r="C101" s="85">
        <v>17441290694.866665</v>
      </c>
      <c r="D101" s="116">
        <v>2599502550</v>
      </c>
      <c r="E101" s="31">
        <f>C101+D101</f>
        <v>20040793244.866665</v>
      </c>
      <c r="F101" s="16">
        <f>E101/B101*100%</f>
        <v>0.5185270679269101</v>
      </c>
      <c r="G101" s="60">
        <f>E101-B101</f>
        <v>-18608670755.133335</v>
      </c>
      <c r="I101" s="121"/>
    </row>
    <row r="102" spans="1:7" ht="15">
      <c r="A102" s="58" t="s">
        <v>66</v>
      </c>
      <c r="B102" s="5">
        <f>SUM(B101)</f>
        <v>38649464000</v>
      </c>
      <c r="C102" s="32">
        <f>SUM(C101)</f>
        <v>17441290694.866665</v>
      </c>
      <c r="D102" s="32">
        <f>SUM(D101)</f>
        <v>2599502550</v>
      </c>
      <c r="E102" s="32">
        <f>SUM(E101)</f>
        <v>20040793244.866665</v>
      </c>
      <c r="F102" s="20">
        <f>E102/B102*100%</f>
        <v>0.5185270679269101</v>
      </c>
      <c r="G102" s="62">
        <f>E102-B102</f>
        <v>-18608670755.133335</v>
      </c>
    </row>
    <row r="103" spans="1:7" ht="15">
      <c r="A103" s="59"/>
      <c r="B103" s="6"/>
      <c r="C103" s="31"/>
      <c r="D103" s="31"/>
      <c r="E103" s="31"/>
      <c r="F103" s="16"/>
      <c r="G103" s="60"/>
    </row>
    <row r="104" spans="1:7" ht="15">
      <c r="A104" s="58" t="s">
        <v>67</v>
      </c>
      <c r="B104" s="5">
        <f>B102+B98</f>
        <v>42517487000</v>
      </c>
      <c r="C104" s="32">
        <f>C102+C98</f>
        <v>19454745694.866665</v>
      </c>
      <c r="D104" s="32">
        <f>D102+D98</f>
        <v>2907554550</v>
      </c>
      <c r="E104" s="32">
        <f>E102+E98</f>
        <v>22362300244.866665</v>
      </c>
      <c r="F104" s="20">
        <f>E104/B104*100%</f>
        <v>0.525955361493182</v>
      </c>
      <c r="G104" s="62">
        <f>E104-B104</f>
        <v>-20155186755.133335</v>
      </c>
    </row>
    <row r="105" spans="1:7" ht="15">
      <c r="A105" s="56"/>
      <c r="B105" s="114"/>
      <c r="C105" s="99"/>
      <c r="D105" s="69"/>
      <c r="E105" s="100"/>
      <c r="F105" s="101"/>
      <c r="G105" s="102"/>
    </row>
    <row r="106" spans="1:7" ht="15">
      <c r="A106" s="98"/>
      <c r="B106" s="103"/>
      <c r="C106" s="104"/>
      <c r="D106" s="105"/>
      <c r="E106" s="106"/>
      <c r="F106" s="97"/>
      <c r="G106" s="6"/>
    </row>
    <row r="107" spans="1:7" ht="15">
      <c r="A107" s="58" t="s">
        <v>68</v>
      </c>
      <c r="B107" s="115"/>
      <c r="C107" s="45"/>
      <c r="D107" s="45"/>
      <c r="E107" s="46"/>
      <c r="F107" s="47"/>
      <c r="G107" s="68"/>
    </row>
    <row r="108" spans="1:7" ht="15">
      <c r="A108" s="59" t="s">
        <v>69</v>
      </c>
      <c r="B108" s="6">
        <v>10415000</v>
      </c>
      <c r="C108" s="31">
        <v>0</v>
      </c>
      <c r="D108" s="31">
        <v>0</v>
      </c>
      <c r="E108" s="31">
        <v>0</v>
      </c>
      <c r="F108" s="16">
        <f aca="true" t="shared" si="8" ref="F108:F118">E108/B108*100%</f>
        <v>0</v>
      </c>
      <c r="G108" s="60">
        <f aca="true" t="shared" si="9" ref="G108:G118">E108-B108</f>
        <v>-10415000</v>
      </c>
    </row>
    <row r="109" spans="1:7" ht="15">
      <c r="A109" s="59" t="s">
        <v>70</v>
      </c>
      <c r="B109" s="6">
        <v>434189000</v>
      </c>
      <c r="C109" s="31">
        <v>109372500</v>
      </c>
      <c r="D109" s="31">
        <v>109373000</v>
      </c>
      <c r="E109" s="31">
        <f aca="true" t="shared" si="10" ref="E109:E116">C109+D109</f>
        <v>218745500</v>
      </c>
      <c r="F109" s="16">
        <f t="shared" si="8"/>
        <v>0.5038024915417019</v>
      </c>
      <c r="G109" s="60">
        <f t="shared" si="9"/>
        <v>-215443500</v>
      </c>
    </row>
    <row r="110" spans="1:7" ht="15">
      <c r="A110" s="59" t="s">
        <v>71</v>
      </c>
      <c r="B110" s="6">
        <v>18838000</v>
      </c>
      <c r="C110" s="31">
        <v>0</v>
      </c>
      <c r="D110" s="31">
        <v>0</v>
      </c>
      <c r="E110" s="31">
        <f t="shared" si="10"/>
        <v>0</v>
      </c>
      <c r="F110" s="16">
        <f t="shared" si="8"/>
        <v>0</v>
      </c>
      <c r="G110" s="60">
        <f t="shared" si="9"/>
        <v>-18838000</v>
      </c>
    </row>
    <row r="111" spans="1:7" ht="15">
      <c r="A111" s="59" t="s">
        <v>78</v>
      </c>
      <c r="B111" s="6">
        <v>1646097000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-1646097000</v>
      </c>
    </row>
    <row r="112" spans="1:7" ht="15">
      <c r="A112" s="59" t="s">
        <v>72</v>
      </c>
      <c r="B112" s="6">
        <v>1151698000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-1151698000</v>
      </c>
    </row>
    <row r="113" spans="1:7" ht="15">
      <c r="A113" s="59" t="s">
        <v>73</v>
      </c>
      <c r="B113" s="6">
        <v>85819000</v>
      </c>
      <c r="C113" s="31">
        <v>67540000</v>
      </c>
      <c r="D113" s="31">
        <v>0</v>
      </c>
      <c r="E113" s="31">
        <f t="shared" si="10"/>
        <v>67540000</v>
      </c>
      <c r="F113" s="16">
        <f t="shared" si="8"/>
        <v>0.787005208636782</v>
      </c>
      <c r="G113" s="60">
        <f t="shared" si="9"/>
        <v>-18279000</v>
      </c>
    </row>
    <row r="114" spans="1:7" ht="15">
      <c r="A114" s="59" t="s">
        <v>104</v>
      </c>
      <c r="B114" s="6">
        <v>0</v>
      </c>
      <c r="C114" s="31">
        <v>1225350000</v>
      </c>
      <c r="D114" s="31">
        <v>397678500</v>
      </c>
      <c r="E114" s="31">
        <f t="shared" si="10"/>
        <v>1623028500</v>
      </c>
      <c r="F114" s="16">
        <v>1</v>
      </c>
      <c r="G114" s="60">
        <f t="shared" si="9"/>
        <v>1623028500</v>
      </c>
    </row>
    <row r="115" spans="1:7" ht="15">
      <c r="A115" s="59" t="s">
        <v>110</v>
      </c>
      <c r="B115" s="6">
        <v>0</v>
      </c>
      <c r="C115" s="31">
        <v>150424620.12</v>
      </c>
      <c r="D115" s="31">
        <v>0</v>
      </c>
      <c r="E115" s="31">
        <f>C115+D115</f>
        <v>150424620.12</v>
      </c>
      <c r="F115" s="16">
        <v>1</v>
      </c>
      <c r="G115" s="60">
        <f>E115-B115</f>
        <v>150424620.12</v>
      </c>
    </row>
    <row r="116" spans="1:7" ht="15">
      <c r="A116" s="59" t="s">
        <v>74</v>
      </c>
      <c r="B116" s="6">
        <v>32713000</v>
      </c>
      <c r="C116" s="31">
        <v>115625421</v>
      </c>
      <c r="D116" s="31">
        <v>0</v>
      </c>
      <c r="E116" s="31">
        <f t="shared" si="10"/>
        <v>115625421</v>
      </c>
      <c r="F116" s="16">
        <f t="shared" si="8"/>
        <v>3.53454042735304</v>
      </c>
      <c r="G116" s="60">
        <f t="shared" si="9"/>
        <v>82912421</v>
      </c>
    </row>
    <row r="117" spans="1:7" ht="20.25" customHeight="1">
      <c r="A117" s="58" t="s">
        <v>75</v>
      </c>
      <c r="B117" s="5">
        <f>SUM(B108:B116)</f>
        <v>3379769000</v>
      </c>
      <c r="C117" s="32">
        <f>SUM(C108:C116)</f>
        <v>1668312541.12</v>
      </c>
      <c r="D117" s="32">
        <f>SUM(D108:D116)</f>
        <v>507051500</v>
      </c>
      <c r="E117" s="32">
        <f>SUM(E108:E116)</f>
        <v>2175364041.12</v>
      </c>
      <c r="F117" s="20">
        <f t="shared" si="8"/>
        <v>0.643642817340475</v>
      </c>
      <c r="G117" s="60">
        <f t="shared" si="9"/>
        <v>-1204404958.88</v>
      </c>
    </row>
    <row r="118" spans="1:7" ht="21" customHeight="1">
      <c r="A118" s="65" t="s">
        <v>76</v>
      </c>
      <c r="B118" s="41">
        <f>B117+B104</f>
        <v>45897256000</v>
      </c>
      <c r="C118" s="42">
        <f>C117+C104</f>
        <v>21123058235.986664</v>
      </c>
      <c r="D118" s="42">
        <f>D117+D104</f>
        <v>3414606050</v>
      </c>
      <c r="E118" s="42">
        <f>E117+E104</f>
        <v>24537664285.986664</v>
      </c>
      <c r="F118" s="43">
        <f t="shared" si="8"/>
        <v>0.5346215966807834</v>
      </c>
      <c r="G118" s="66">
        <f t="shared" si="9"/>
        <v>-21359591714.013336</v>
      </c>
    </row>
    <row r="119" spans="1:7" ht="21" customHeight="1">
      <c r="A119" s="1"/>
      <c r="B119" s="5"/>
      <c r="C119" s="32"/>
      <c r="D119" s="32"/>
      <c r="E119" s="32"/>
      <c r="F119" s="20"/>
      <c r="G119" s="5"/>
    </row>
    <row r="120" spans="1:7" ht="20.25" customHeight="1">
      <c r="A120" s="93" t="s">
        <v>96</v>
      </c>
      <c r="B120" s="94"/>
      <c r="C120" s="92"/>
      <c r="D120" s="92"/>
      <c r="E120" s="92"/>
      <c r="F120" s="95"/>
      <c r="G120" s="96"/>
    </row>
    <row r="121" spans="1:7" ht="20.25" customHeight="1">
      <c r="A121" s="59" t="s">
        <v>124</v>
      </c>
      <c r="B121" s="6">
        <v>0</v>
      </c>
      <c r="C121" s="31">
        <v>0</v>
      </c>
      <c r="D121" s="31">
        <v>12233921.7</v>
      </c>
      <c r="E121" s="31">
        <f>C121+D121</f>
        <v>12233921.7</v>
      </c>
      <c r="F121" s="16">
        <v>1</v>
      </c>
      <c r="G121" s="60">
        <f>E121-B121</f>
        <v>12233921.7</v>
      </c>
    </row>
    <row r="122" spans="1:7" ht="17.25" customHeight="1">
      <c r="A122" s="59" t="s">
        <v>92</v>
      </c>
      <c r="B122" s="6">
        <v>0</v>
      </c>
      <c r="C122" s="31">
        <v>0</v>
      </c>
      <c r="D122" s="31">
        <v>0</v>
      </c>
      <c r="E122" s="31">
        <f>C122+D122</f>
        <v>0</v>
      </c>
      <c r="F122" s="16">
        <v>1</v>
      </c>
      <c r="G122" s="60">
        <f>E122-B122</f>
        <v>0</v>
      </c>
    </row>
    <row r="123" spans="1:7" ht="21" customHeight="1" thickBot="1">
      <c r="A123" s="93" t="s">
        <v>97</v>
      </c>
      <c r="B123" s="94">
        <f>SUM(B121:B122)</f>
        <v>0</v>
      </c>
      <c r="C123" s="94">
        <v>0</v>
      </c>
      <c r="D123" s="94">
        <f>SUM(D121:D122)</f>
        <v>12233921.7</v>
      </c>
      <c r="E123" s="42">
        <f>C123+D123</f>
        <v>12233921.7</v>
      </c>
      <c r="F123" s="43">
        <v>1</v>
      </c>
      <c r="G123" s="66">
        <f>E123-B123</f>
        <v>12233921.7</v>
      </c>
    </row>
    <row r="124" spans="1:7" ht="21" customHeight="1" thickBot="1">
      <c r="A124" s="49" t="s">
        <v>98</v>
      </c>
      <c r="B124" s="50">
        <f>B117+B123</f>
        <v>3379769000</v>
      </c>
      <c r="C124" s="50">
        <f>C117+C123</f>
        <v>1668312541.12</v>
      </c>
      <c r="D124" s="50">
        <f>D117+D123</f>
        <v>519285421.7</v>
      </c>
      <c r="E124" s="50">
        <f>E117+E123</f>
        <v>2187597962.8199997</v>
      </c>
      <c r="F124" s="51">
        <f>E124/B124*100%</f>
        <v>0.6472625681873524</v>
      </c>
      <c r="G124" s="52">
        <f>E124-B124</f>
        <v>-1192171037.1800003</v>
      </c>
    </row>
    <row r="125" spans="1:7" ht="28.5" customHeight="1" thickBot="1">
      <c r="A125" s="49" t="s">
        <v>77</v>
      </c>
      <c r="B125" s="50">
        <f>B118+B86+B123</f>
        <v>57307135000</v>
      </c>
      <c r="C125" s="50">
        <f>C118+C86+C124</f>
        <v>28197754250.656662</v>
      </c>
      <c r="D125" s="50">
        <f>D118+D86+D124</f>
        <v>4813976434.7</v>
      </c>
      <c r="E125" s="50">
        <f>E118+E86+E124</f>
        <v>33011730685.356663</v>
      </c>
      <c r="F125" s="51">
        <f>E125/B125*100%</f>
        <v>0.5760492246795562</v>
      </c>
      <c r="G125" s="52">
        <f>E125-B125</f>
        <v>-24295404314.643337</v>
      </c>
    </row>
    <row r="126" spans="3:5" ht="15">
      <c r="C126" s="125"/>
      <c r="E126" s="113"/>
    </row>
    <row r="127" spans="2:5" ht="15">
      <c r="B127" s="113"/>
      <c r="D127" s="113"/>
      <c r="E127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95">
      <selection activeCell="D114" sqref="D114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122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125</v>
      </c>
      <c r="D7" s="112" t="s">
        <v>127</v>
      </c>
      <c r="E7" s="75" t="s">
        <v>126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7200000</v>
      </c>
      <c r="D11" s="6">
        <v>1800000</v>
      </c>
      <c r="E11" s="6">
        <f>C11+D11</f>
        <v>9000000</v>
      </c>
      <c r="F11" s="16">
        <f>E11/B11*100%</f>
        <v>0.15463917525773196</v>
      </c>
      <c r="G11" s="60">
        <f>E11-B11</f>
        <v>-49200000</v>
      </c>
    </row>
    <row r="12" spans="1:7" ht="15.75">
      <c r="A12" s="61" t="s">
        <v>82</v>
      </c>
      <c r="B12" s="23">
        <v>32400000</v>
      </c>
      <c r="C12" s="6">
        <v>2160000</v>
      </c>
      <c r="D12" s="6">
        <v>600000</v>
      </c>
      <c r="E12" s="6">
        <f>C12+D12</f>
        <v>2760000</v>
      </c>
      <c r="F12" s="16">
        <f>E12/B12*100%</f>
        <v>0.08518518518518518</v>
      </c>
      <c r="G12" s="60">
        <f>E12-B12</f>
        <v>-29640000</v>
      </c>
    </row>
    <row r="13" spans="1:7" ht="15">
      <c r="A13" s="58" t="s">
        <v>9</v>
      </c>
      <c r="B13" s="5">
        <f>SUM(B11:B12)</f>
        <v>90600000</v>
      </c>
      <c r="C13" s="5">
        <f>SUM(C11:C12)</f>
        <v>9360000</v>
      </c>
      <c r="D13" s="5">
        <f>SUM(D11:D12)</f>
        <v>2400000</v>
      </c>
      <c r="E13" s="5">
        <f>SUM(E11:E12)</f>
        <v>11760000</v>
      </c>
      <c r="F13" s="20">
        <f>E13/B13*100%</f>
        <v>0.12980132450331125</v>
      </c>
      <c r="G13" s="62">
        <f>E13-B13</f>
        <v>-78840000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400000</v>
      </c>
      <c r="D17" s="6">
        <v>2100000</v>
      </c>
      <c r="E17" s="6">
        <f>C17+D17</f>
        <v>2500000</v>
      </c>
      <c r="F17" s="16">
        <f aca="true" t="shared" si="0" ref="F17:F26">E17/B17*100%</f>
        <v>0.08333333333333333</v>
      </c>
      <c r="G17" s="60">
        <f aca="true" t="shared" si="1" ref="G17:G26">E17-B17</f>
        <v>-27500000</v>
      </c>
    </row>
    <row r="18" spans="1:7" ht="15">
      <c r="A18" s="59" t="s">
        <v>12</v>
      </c>
      <c r="B18" s="23">
        <v>10000000</v>
      </c>
      <c r="C18" s="6">
        <v>9578953</v>
      </c>
      <c r="D18" s="6">
        <v>378000</v>
      </c>
      <c r="E18" s="6">
        <f aca="true" t="shared" si="2" ref="E18:E26">C18+D18</f>
        <v>9956953</v>
      </c>
      <c r="F18" s="16">
        <f t="shared" si="0"/>
        <v>0.9956953</v>
      </c>
      <c r="G18" s="60">
        <f t="shared" si="1"/>
        <v>-43047</v>
      </c>
    </row>
    <row r="19" spans="1:7" ht="15">
      <c r="A19" s="59" t="s">
        <v>13</v>
      </c>
      <c r="B19" s="23">
        <v>40156000</v>
      </c>
      <c r="C19" s="6">
        <v>25005000</v>
      </c>
      <c r="D19" s="6">
        <v>381000</v>
      </c>
      <c r="E19" s="6">
        <f t="shared" si="2"/>
        <v>25386000</v>
      </c>
      <c r="F19" s="16">
        <f t="shared" si="0"/>
        <v>0.6321844805259488</v>
      </c>
      <c r="G19" s="60">
        <f t="shared" si="1"/>
        <v>-14770000</v>
      </c>
    </row>
    <row r="20" spans="1:7" ht="15">
      <c r="A20" s="59" t="s">
        <v>91</v>
      </c>
      <c r="B20" s="23">
        <v>1461910000</v>
      </c>
      <c r="C20" s="6">
        <v>923387432.94</v>
      </c>
      <c r="D20" s="6">
        <v>85425924.73</v>
      </c>
      <c r="E20" s="6">
        <f t="shared" si="2"/>
        <v>1008813357.6700001</v>
      </c>
      <c r="F20" s="16">
        <f t="shared" si="0"/>
        <v>0.690065296543563</v>
      </c>
      <c r="G20" s="60">
        <f t="shared" si="1"/>
        <v>-453096642.3299999</v>
      </c>
    </row>
    <row r="21" spans="1:7" ht="15.75" customHeight="1">
      <c r="A21" s="59" t="s">
        <v>81</v>
      </c>
      <c r="B21" s="23">
        <v>14600000</v>
      </c>
      <c r="C21" s="6">
        <v>10371971.11</v>
      </c>
      <c r="D21" s="6">
        <v>564000</v>
      </c>
      <c r="E21" s="6">
        <f t="shared" si="2"/>
        <v>10935971.11</v>
      </c>
      <c r="F21" s="16">
        <f t="shared" si="0"/>
        <v>0.7490391171232876</v>
      </c>
      <c r="G21" s="60">
        <f t="shared" si="1"/>
        <v>-3664028.8900000006</v>
      </c>
    </row>
    <row r="22" spans="1:7" ht="15">
      <c r="A22" s="59" t="s">
        <v>14</v>
      </c>
      <c r="B22" s="23">
        <v>2616666835</v>
      </c>
      <c r="C22" s="6">
        <v>1706810542.42</v>
      </c>
      <c r="D22" s="6">
        <v>311040180.33</v>
      </c>
      <c r="E22" s="6">
        <f t="shared" si="2"/>
        <v>2017850722.75</v>
      </c>
      <c r="F22" s="16">
        <f t="shared" si="0"/>
        <v>0.7711530928430176</v>
      </c>
      <c r="G22" s="60">
        <f t="shared" si="1"/>
        <v>-598816112.25</v>
      </c>
    </row>
    <row r="23" spans="1:7" ht="15">
      <c r="A23" s="59" t="s">
        <v>128</v>
      </c>
      <c r="B23" s="29">
        <v>0</v>
      </c>
      <c r="C23" s="29">
        <v>0</v>
      </c>
      <c r="D23" s="6">
        <v>5133869.32</v>
      </c>
      <c r="E23" s="6">
        <f t="shared" si="2"/>
        <v>5133869.32</v>
      </c>
      <c r="F23" s="16">
        <v>0.03</v>
      </c>
      <c r="G23" s="60"/>
    </row>
    <row r="24" spans="1:7" ht="15">
      <c r="A24" s="59" t="s">
        <v>15</v>
      </c>
      <c r="B24" s="23">
        <v>9600000</v>
      </c>
      <c r="C24" s="6">
        <v>5280000</v>
      </c>
      <c r="D24" s="6">
        <v>0</v>
      </c>
      <c r="E24" s="6">
        <f t="shared" si="2"/>
        <v>5280000</v>
      </c>
      <c r="F24" s="16">
        <f t="shared" si="0"/>
        <v>0.55</v>
      </c>
      <c r="G24" s="60">
        <f t="shared" si="1"/>
        <v>-4320000</v>
      </c>
    </row>
    <row r="25" spans="1:9" ht="15">
      <c r="A25" s="59" t="s">
        <v>16</v>
      </c>
      <c r="B25" s="23">
        <v>1396060000</v>
      </c>
      <c r="C25" s="6">
        <v>899325400</v>
      </c>
      <c r="D25" s="6">
        <v>57549250</v>
      </c>
      <c r="E25" s="6">
        <f t="shared" si="2"/>
        <v>956874650</v>
      </c>
      <c r="F25" s="16">
        <f t="shared" si="0"/>
        <v>0.6854108347778749</v>
      </c>
      <c r="G25" s="60">
        <f t="shared" si="1"/>
        <v>-439185350</v>
      </c>
      <c r="I25" s="113"/>
    </row>
    <row r="26" spans="1:7" ht="15">
      <c r="A26" s="58" t="s">
        <v>17</v>
      </c>
      <c r="B26" s="5">
        <f>SUM(B17:B25)</f>
        <v>5578992835</v>
      </c>
      <c r="C26" s="5">
        <f>SUM(C17:C25)</f>
        <v>3580159299.4700003</v>
      </c>
      <c r="D26" s="5">
        <f>SUM(D17:D25)</f>
        <v>462572224.38</v>
      </c>
      <c r="E26" s="5">
        <f t="shared" si="2"/>
        <v>4042731523.8500004</v>
      </c>
      <c r="F26" s="20">
        <f t="shared" si="0"/>
        <v>0.7246346506286561</v>
      </c>
      <c r="G26" s="62">
        <f t="shared" si="1"/>
        <v>-1536261311.1499996</v>
      </c>
    </row>
    <row r="27" spans="1:7" ht="15">
      <c r="A27" s="58"/>
      <c r="B27" s="5"/>
      <c r="C27" s="5"/>
      <c r="D27" s="5"/>
      <c r="E27" s="6"/>
      <c r="F27" s="16"/>
      <c r="G27" s="60"/>
    </row>
    <row r="28" spans="1:7" ht="15">
      <c r="A28" s="58" t="s">
        <v>18</v>
      </c>
      <c r="B28" s="12"/>
      <c r="C28" s="12"/>
      <c r="D28" s="12"/>
      <c r="E28" s="6"/>
      <c r="F28" s="16"/>
      <c r="G28" s="60"/>
    </row>
    <row r="29" spans="1:7" ht="15">
      <c r="A29" s="111" t="s">
        <v>12</v>
      </c>
      <c r="B29" s="23">
        <v>3000000</v>
      </c>
      <c r="C29" s="6">
        <v>1952000</v>
      </c>
      <c r="D29" s="6">
        <v>456000</v>
      </c>
      <c r="E29" s="6">
        <f>C29+D29</f>
        <v>2408000</v>
      </c>
      <c r="F29" s="16">
        <f>E29/B29*100%</f>
        <v>0.8026666666666666</v>
      </c>
      <c r="G29" s="60">
        <f>E29-B29</f>
        <v>-592000</v>
      </c>
    </row>
    <row r="30" spans="1:7" ht="15">
      <c r="A30" s="58" t="s">
        <v>19</v>
      </c>
      <c r="B30" s="5">
        <f>SUM(B29)</f>
        <v>3000000</v>
      </c>
      <c r="C30" s="5">
        <f>SUM(C29)</f>
        <v>1952000</v>
      </c>
      <c r="D30" s="5">
        <f>SUM(D29)</f>
        <v>456000</v>
      </c>
      <c r="E30" s="5">
        <f>C30+D30</f>
        <v>2408000</v>
      </c>
      <c r="F30" s="20">
        <f>E30/B30*100%</f>
        <v>0.8026666666666666</v>
      </c>
      <c r="G30" s="62">
        <f>E30-B30</f>
        <v>-592000</v>
      </c>
    </row>
    <row r="31" spans="1:7" ht="15">
      <c r="A31" s="58" t="s">
        <v>20</v>
      </c>
      <c r="B31" s="5">
        <f>B13+B26+B30</f>
        <v>5672592835</v>
      </c>
      <c r="C31" s="5">
        <f>C30+C26+C13</f>
        <v>3591471299.4700003</v>
      </c>
      <c r="D31" s="5">
        <f>D30+D26+D13</f>
        <v>465428224.38</v>
      </c>
      <c r="E31" s="5">
        <f>E30+E26+E13</f>
        <v>4056899523.8500004</v>
      </c>
      <c r="F31" s="20">
        <f>E31/B31*100%</f>
        <v>0.7151755188242769</v>
      </c>
      <c r="G31" s="62">
        <f>E31-B31</f>
        <v>-1615693311.1499996</v>
      </c>
    </row>
    <row r="32" spans="1:7" ht="15">
      <c r="A32" s="58"/>
      <c r="B32" s="5"/>
      <c r="C32" s="5"/>
      <c r="D32" s="5"/>
      <c r="E32" s="5"/>
      <c r="F32" s="20"/>
      <c r="G32" s="62"/>
    </row>
    <row r="33" spans="1:7" ht="15">
      <c r="A33" s="59"/>
      <c r="B33" s="6"/>
      <c r="C33" s="6"/>
      <c r="D33" s="6"/>
      <c r="E33" s="6"/>
      <c r="F33" s="16"/>
      <c r="G33" s="60"/>
    </row>
    <row r="34" spans="1:7" ht="15">
      <c r="A34" s="58" t="s">
        <v>21</v>
      </c>
      <c r="B34" s="4"/>
      <c r="C34" s="12"/>
      <c r="D34" s="110"/>
      <c r="E34" s="6"/>
      <c r="F34" s="16"/>
      <c r="G34" s="60"/>
    </row>
    <row r="35" spans="1:7" ht="15">
      <c r="A35" s="58" t="s">
        <v>22</v>
      </c>
      <c r="B35" s="4"/>
      <c r="C35" s="12"/>
      <c r="D35" s="12"/>
      <c r="E35" s="6"/>
      <c r="F35" s="16"/>
      <c r="G35" s="60"/>
    </row>
    <row r="36" spans="1:7" ht="15">
      <c r="A36" s="59" t="s">
        <v>23</v>
      </c>
      <c r="B36" s="23">
        <v>256200000</v>
      </c>
      <c r="C36" s="6">
        <v>137374540</v>
      </c>
      <c r="D36" s="6">
        <v>13861000</v>
      </c>
      <c r="E36" s="6">
        <f>C36+D36</f>
        <v>151235540</v>
      </c>
      <c r="F36" s="16">
        <f>E36/B36*100%</f>
        <v>0.5903026541764247</v>
      </c>
      <c r="G36" s="60">
        <f>E36-B36</f>
        <v>-104964460</v>
      </c>
    </row>
    <row r="37" spans="1:9" ht="15">
      <c r="A37" s="59" t="s">
        <v>24</v>
      </c>
      <c r="B37" s="23">
        <v>39600000</v>
      </c>
      <c r="C37" s="6">
        <v>11055485</v>
      </c>
      <c r="D37" s="6">
        <v>2964900</v>
      </c>
      <c r="E37" s="6">
        <f>C37+D37</f>
        <v>14020385</v>
      </c>
      <c r="F37" s="16">
        <f>E37/B37*100%</f>
        <v>0.3540501262626263</v>
      </c>
      <c r="G37" s="60">
        <f>E37-B37</f>
        <v>-25579615</v>
      </c>
      <c r="I37" s="113"/>
    </row>
    <row r="38" spans="1:7" ht="15">
      <c r="A38" s="59" t="s">
        <v>101</v>
      </c>
      <c r="B38" s="23">
        <v>8000000</v>
      </c>
      <c r="C38" s="6">
        <v>0</v>
      </c>
      <c r="D38" s="6">
        <v>0</v>
      </c>
      <c r="E38" s="6">
        <f>C38+D38</f>
        <v>0</v>
      </c>
      <c r="F38" s="16">
        <f>E38/B38*100%</f>
        <v>0</v>
      </c>
      <c r="G38" s="60">
        <f>E38-B38</f>
        <v>-8000000</v>
      </c>
    </row>
    <row r="39" spans="1:7" ht="15">
      <c r="A39" s="59" t="s">
        <v>25</v>
      </c>
      <c r="B39" s="23">
        <v>208777000</v>
      </c>
      <c r="C39" s="36">
        <v>74968400</v>
      </c>
      <c r="D39" s="6">
        <v>8450000</v>
      </c>
      <c r="E39" s="6">
        <f>C39+D39</f>
        <v>83418400</v>
      </c>
      <c r="F39" s="16">
        <f>E39/B39*100%</f>
        <v>0.3995574225130163</v>
      </c>
      <c r="G39" s="60">
        <f>E39-B39</f>
        <v>-125358600</v>
      </c>
    </row>
    <row r="40" spans="1:7" ht="15">
      <c r="A40" s="58" t="s">
        <v>26</v>
      </c>
      <c r="B40" s="5">
        <f>SUM(B36:B39)</f>
        <v>512577000</v>
      </c>
      <c r="C40" s="5">
        <f>SUM(C36:C39)</f>
        <v>223398425</v>
      </c>
      <c r="D40" s="5">
        <f>SUM(D36:D39)</f>
        <v>25275900</v>
      </c>
      <c r="E40" s="5">
        <f>SUM(E36:E39)</f>
        <v>248674325</v>
      </c>
      <c r="F40" s="20">
        <f>E40/B40*100%</f>
        <v>0.48514530499807834</v>
      </c>
      <c r="G40" s="62">
        <f>E40-B40</f>
        <v>-263902675</v>
      </c>
    </row>
    <row r="41" spans="1:7" ht="15">
      <c r="A41" s="1"/>
      <c r="B41" s="5"/>
      <c r="C41" s="5"/>
      <c r="D41" s="5"/>
      <c r="E41" s="5"/>
      <c r="F41" s="20"/>
      <c r="G41" s="62"/>
    </row>
    <row r="42" spans="1:7" ht="15">
      <c r="A42" s="1" t="s">
        <v>27</v>
      </c>
      <c r="B42" s="12"/>
      <c r="C42" s="12"/>
      <c r="D42" s="12"/>
      <c r="E42" s="6"/>
      <c r="F42" s="16"/>
      <c r="G42" s="60"/>
    </row>
    <row r="43" spans="1:7" ht="15">
      <c r="A43" s="59" t="s">
        <v>28</v>
      </c>
      <c r="B43" s="23">
        <v>520410000</v>
      </c>
      <c r="C43" s="36">
        <v>387741000</v>
      </c>
      <c r="D43" s="36">
        <v>0</v>
      </c>
      <c r="E43" s="6">
        <f>C43+D43</f>
        <v>387741000</v>
      </c>
      <c r="F43" s="16">
        <f>E43/B43*100%</f>
        <v>0.7450683115236064</v>
      </c>
      <c r="G43" s="60">
        <f>E43-B43</f>
        <v>-132669000</v>
      </c>
    </row>
    <row r="44" spans="1:7" ht="15">
      <c r="A44" s="58" t="s">
        <v>29</v>
      </c>
      <c r="B44" s="5">
        <f>SUM(B43)</f>
        <v>520410000</v>
      </c>
      <c r="C44" s="5">
        <f>SUM(C43)</f>
        <v>387741000</v>
      </c>
      <c r="D44" s="5">
        <f>SUM(D43)</f>
        <v>0</v>
      </c>
      <c r="E44" s="5">
        <f>SUM(E43)</f>
        <v>387741000</v>
      </c>
      <c r="F44" s="20">
        <f>E44/B44*100%</f>
        <v>0.7450683115236064</v>
      </c>
      <c r="G44" s="62">
        <f>E44-B44</f>
        <v>-132669000</v>
      </c>
    </row>
    <row r="45" spans="1:9" ht="15">
      <c r="A45" s="59"/>
      <c r="B45" s="6"/>
      <c r="C45" s="6"/>
      <c r="D45" s="6"/>
      <c r="E45" s="6"/>
      <c r="F45" s="16"/>
      <c r="G45" s="60"/>
      <c r="I45" s="126"/>
    </row>
    <row r="46" spans="1:7" ht="15">
      <c r="A46" s="58" t="s">
        <v>30</v>
      </c>
      <c r="B46" s="12"/>
      <c r="C46" s="12"/>
      <c r="D46" s="12"/>
      <c r="E46" s="86"/>
      <c r="F46" s="16"/>
      <c r="G46" s="60"/>
    </row>
    <row r="47" spans="1:7" ht="15">
      <c r="A47" s="59" t="s">
        <v>31</v>
      </c>
      <c r="B47" s="23">
        <v>147700000</v>
      </c>
      <c r="C47" s="6">
        <v>116850000</v>
      </c>
      <c r="D47" s="6">
        <v>13070000</v>
      </c>
      <c r="E47" s="6">
        <f>C47+D47</f>
        <v>129920000</v>
      </c>
      <c r="F47" s="20">
        <f>E47/B47*100%</f>
        <v>0.8796208530805687</v>
      </c>
      <c r="G47" s="62">
        <f>E47-B47</f>
        <v>-17780000</v>
      </c>
    </row>
    <row r="48" spans="1:7" ht="15.75">
      <c r="A48" s="61" t="s">
        <v>83</v>
      </c>
      <c r="B48" s="23">
        <v>12000000</v>
      </c>
      <c r="C48" s="6">
        <v>13400000</v>
      </c>
      <c r="D48" s="6">
        <v>1550000</v>
      </c>
      <c r="E48" s="6">
        <f>C48+D48</f>
        <v>14950000</v>
      </c>
      <c r="F48" s="20">
        <f>E48/B48*100%</f>
        <v>1.2458333333333333</v>
      </c>
      <c r="G48" s="62">
        <f>E48-B48</f>
        <v>2950000</v>
      </c>
    </row>
    <row r="49" spans="1:7" ht="15">
      <c r="A49" s="58" t="s">
        <v>32</v>
      </c>
      <c r="B49" s="5">
        <f>SUM(B47:B48)</f>
        <v>159700000</v>
      </c>
      <c r="C49" s="5">
        <f>SUM(C47:C48)</f>
        <v>130250000</v>
      </c>
      <c r="D49" s="5">
        <f>SUM(D47:D48)</f>
        <v>14620000</v>
      </c>
      <c r="E49" s="5">
        <f>SUM(E47:E48)</f>
        <v>144870000</v>
      </c>
      <c r="F49" s="20">
        <f>E49/B49*100%</f>
        <v>0.9071383844708829</v>
      </c>
      <c r="G49" s="62">
        <f>E49-B49</f>
        <v>-14830000</v>
      </c>
    </row>
    <row r="50" spans="1:7" ht="15">
      <c r="A50" s="59"/>
      <c r="B50" s="6"/>
      <c r="C50" s="6"/>
      <c r="D50" s="6"/>
      <c r="E50" s="6"/>
      <c r="F50" s="16"/>
      <c r="G50" s="60"/>
    </row>
    <row r="51" spans="1:7" ht="15">
      <c r="A51" s="58" t="s">
        <v>33</v>
      </c>
      <c r="B51" s="12"/>
      <c r="C51" s="12"/>
      <c r="D51" s="18"/>
      <c r="E51" s="6"/>
      <c r="F51" s="16"/>
      <c r="G51" s="60"/>
    </row>
    <row r="52" spans="1:7" ht="15">
      <c r="A52" s="59" t="s">
        <v>34</v>
      </c>
      <c r="B52" s="23">
        <v>15000000</v>
      </c>
      <c r="C52" s="6">
        <v>8760000</v>
      </c>
      <c r="D52" s="6">
        <v>2370000</v>
      </c>
      <c r="E52" s="6">
        <f>C52+D52</f>
        <v>11130000</v>
      </c>
      <c r="F52" s="16">
        <f>E52/B52*100%</f>
        <v>0.742</v>
      </c>
      <c r="G52" s="60">
        <f>E52-B52</f>
        <v>-3870000</v>
      </c>
    </row>
    <row r="53" spans="1:9" ht="15">
      <c r="A53" s="59" t="s">
        <v>35</v>
      </c>
      <c r="B53" s="23">
        <v>40000000</v>
      </c>
      <c r="C53" s="6">
        <v>39040000</v>
      </c>
      <c r="D53" s="6">
        <v>3320000</v>
      </c>
      <c r="E53" s="6">
        <f>C53+D53</f>
        <v>42360000</v>
      </c>
      <c r="F53" s="16">
        <f>E53/B53*100%</f>
        <v>1.059</v>
      </c>
      <c r="G53" s="60">
        <f>E53-B53</f>
        <v>2360000</v>
      </c>
      <c r="I53" s="126"/>
    </row>
    <row r="54" spans="1:9" ht="15">
      <c r="A54" s="58" t="s">
        <v>36</v>
      </c>
      <c r="B54" s="5">
        <f>SUM(B52:B53)</f>
        <v>55000000</v>
      </c>
      <c r="C54" s="5">
        <f>SUM(C52:C53)</f>
        <v>47800000</v>
      </c>
      <c r="D54" s="5">
        <f>SUM(D52:D53)</f>
        <v>5690000</v>
      </c>
      <c r="E54" s="5">
        <f>SUM(E52:E53)</f>
        <v>53490000</v>
      </c>
      <c r="F54" s="20">
        <f>E54/B54*100%</f>
        <v>0.9725454545454545</v>
      </c>
      <c r="G54" s="62">
        <f>E54-B54</f>
        <v>-1510000</v>
      </c>
      <c r="I54" s="88"/>
    </row>
    <row r="55" spans="1:7" ht="15">
      <c r="A55" s="58"/>
      <c r="B55" s="5"/>
      <c r="C55" s="5">
        <v>0</v>
      </c>
      <c r="D55" s="5"/>
      <c r="E55" s="5"/>
      <c r="F55" s="16"/>
      <c r="G55" s="60"/>
    </row>
    <row r="56" spans="1:9" ht="15">
      <c r="A56" s="58" t="s">
        <v>84</v>
      </c>
      <c r="B56" s="5"/>
      <c r="C56" s="5"/>
      <c r="D56" s="5"/>
      <c r="E56" s="5"/>
      <c r="F56" s="16"/>
      <c r="G56" s="60"/>
      <c r="I56" s="126"/>
    </row>
    <row r="57" spans="1:9" ht="15.75">
      <c r="A57" s="61" t="s">
        <v>85</v>
      </c>
      <c r="B57" s="23">
        <v>8100000</v>
      </c>
      <c r="C57" s="6">
        <v>7470000</v>
      </c>
      <c r="D57" s="6">
        <v>1870000</v>
      </c>
      <c r="E57" s="6">
        <f>C57+D57</f>
        <v>9340000</v>
      </c>
      <c r="F57" s="16">
        <f>E57/B57*100%</f>
        <v>1.1530864197530863</v>
      </c>
      <c r="G57" s="60">
        <f>E57-B57</f>
        <v>1240000</v>
      </c>
      <c r="I57" s="88"/>
    </row>
    <row r="58" spans="1:7" ht="15.75">
      <c r="A58" s="63" t="s">
        <v>86</v>
      </c>
      <c r="B58" s="24">
        <f>SUM(B57)</f>
        <v>8100000</v>
      </c>
      <c r="C58" s="37">
        <f>SUM(C57)</f>
        <v>7470000</v>
      </c>
      <c r="D58" s="37">
        <f>SUM(D57)</f>
        <v>1870000</v>
      </c>
      <c r="E58" s="37">
        <f>SUM(E57)</f>
        <v>9340000</v>
      </c>
      <c r="F58" s="20">
        <f>E58/B58*100%</f>
        <v>1.1530864197530863</v>
      </c>
      <c r="G58" s="60">
        <f>E58-B58</f>
        <v>1240000</v>
      </c>
    </row>
    <row r="59" spans="1:7" ht="15">
      <c r="A59" s="59"/>
      <c r="B59" s="6"/>
      <c r="C59" s="6"/>
      <c r="D59" s="6"/>
      <c r="E59" s="6"/>
      <c r="F59" s="16"/>
      <c r="G59" s="60"/>
    </row>
    <row r="60" spans="1:9" ht="26.25">
      <c r="A60" s="64" t="s">
        <v>37</v>
      </c>
      <c r="B60" s="5">
        <f>B40+B44+B49+B54+B58</f>
        <v>1255787000</v>
      </c>
      <c r="C60" s="5">
        <f>C54+C49+C44+C40+C58</f>
        <v>796659425</v>
      </c>
      <c r="D60" s="5">
        <f>D54+D49+D44+D40+D58</f>
        <v>47455900</v>
      </c>
      <c r="E60" s="5">
        <f>E54+E49+E44+E40+E58</f>
        <v>844115325</v>
      </c>
      <c r="F60" s="20">
        <f>E60/B60*100%</f>
        <v>0.6721803339260559</v>
      </c>
      <c r="G60" s="62">
        <f>E60-B60</f>
        <v>-411671675</v>
      </c>
      <c r="I60" s="88"/>
    </row>
    <row r="61" spans="1:9" ht="15">
      <c r="A61" s="64"/>
      <c r="B61" s="5"/>
      <c r="C61" s="5"/>
      <c r="D61" s="5"/>
      <c r="E61" s="5"/>
      <c r="F61" s="20"/>
      <c r="G61" s="62"/>
      <c r="I61" s="126"/>
    </row>
    <row r="62" spans="1:7" ht="15">
      <c r="A62" s="64"/>
      <c r="B62" s="5"/>
      <c r="C62" s="5"/>
      <c r="D62" s="5"/>
      <c r="E62" s="5"/>
      <c r="F62" s="20"/>
      <c r="G62" s="62"/>
    </row>
    <row r="63" spans="1:7" ht="15">
      <c r="A63" s="58" t="s">
        <v>38</v>
      </c>
      <c r="B63" s="4"/>
      <c r="C63" s="12"/>
      <c r="D63" s="18"/>
      <c r="E63" s="6"/>
      <c r="F63" s="16"/>
      <c r="G63" s="60"/>
    </row>
    <row r="64" spans="1:7" ht="15">
      <c r="A64" s="58" t="s">
        <v>39</v>
      </c>
      <c r="B64" s="4"/>
      <c r="C64" s="12"/>
      <c r="D64" s="18"/>
      <c r="E64" s="6"/>
      <c r="F64" s="16"/>
      <c r="G64" s="60"/>
    </row>
    <row r="65" spans="1:7" ht="15">
      <c r="A65" s="59" t="s">
        <v>40</v>
      </c>
      <c r="B65" s="23">
        <v>650040000</v>
      </c>
      <c r="C65" s="6">
        <v>357553136.08</v>
      </c>
      <c r="D65" s="6">
        <v>106022400</v>
      </c>
      <c r="E65" s="6">
        <f>C65+D65</f>
        <v>463575536.08</v>
      </c>
      <c r="F65" s="16">
        <f aca="true" t="shared" si="3" ref="F65:F70">E65/B65*100%</f>
        <v>0.7131492463233031</v>
      </c>
      <c r="G65" s="60">
        <f aca="true" t="shared" si="4" ref="G65:G70">E65-B65</f>
        <v>-186464463.92000002</v>
      </c>
    </row>
    <row r="66" spans="1:7" ht="15">
      <c r="A66" s="59" t="s">
        <v>41</v>
      </c>
      <c r="B66" s="23">
        <v>192000000</v>
      </c>
      <c r="C66" s="6">
        <v>164246000</v>
      </c>
      <c r="D66" s="6">
        <v>14133000</v>
      </c>
      <c r="E66" s="6">
        <f>C66+D66</f>
        <v>178379000</v>
      </c>
      <c r="F66" s="16">
        <f t="shared" si="3"/>
        <v>0.9290572916666666</v>
      </c>
      <c r="G66" s="60">
        <f t="shared" si="4"/>
        <v>-13621000</v>
      </c>
    </row>
    <row r="67" spans="1:7" ht="15">
      <c r="A67" s="59" t="s">
        <v>42</v>
      </c>
      <c r="B67" s="23">
        <v>589200000</v>
      </c>
      <c r="C67" s="6">
        <v>445639000</v>
      </c>
      <c r="D67" s="6">
        <v>44707000</v>
      </c>
      <c r="E67" s="6">
        <f>C67+D67</f>
        <v>490346000</v>
      </c>
      <c r="F67" s="16">
        <f t="shared" si="3"/>
        <v>0.8322233536999322</v>
      </c>
      <c r="G67" s="60">
        <f t="shared" si="4"/>
        <v>-98854000</v>
      </c>
    </row>
    <row r="68" spans="1:7" ht="15">
      <c r="A68" s="59" t="s">
        <v>43</v>
      </c>
      <c r="B68" s="23">
        <v>20400000</v>
      </c>
      <c r="C68" s="6">
        <v>14605000</v>
      </c>
      <c r="D68" s="6">
        <v>1389000</v>
      </c>
      <c r="E68" s="6">
        <f>C68+D68</f>
        <v>15994000</v>
      </c>
      <c r="F68" s="16">
        <f t="shared" si="3"/>
        <v>0.7840196078431373</v>
      </c>
      <c r="G68" s="60">
        <f t="shared" si="4"/>
        <v>-4406000</v>
      </c>
    </row>
    <row r="69" spans="1:7" ht="15.75">
      <c r="A69" s="61" t="s">
        <v>87</v>
      </c>
      <c r="B69" s="23">
        <v>10800000</v>
      </c>
      <c r="C69" s="6">
        <v>9900000</v>
      </c>
      <c r="D69" s="6">
        <v>1250000</v>
      </c>
      <c r="E69" s="6">
        <f>C69+D69</f>
        <v>11150000</v>
      </c>
      <c r="F69" s="16">
        <f t="shared" si="3"/>
        <v>1.0324074074074074</v>
      </c>
      <c r="G69" s="60">
        <f t="shared" si="4"/>
        <v>350000</v>
      </c>
    </row>
    <row r="70" spans="1:7" ht="15">
      <c r="A70" s="58" t="s">
        <v>93</v>
      </c>
      <c r="B70" s="5">
        <f>SUM(B65:B69)</f>
        <v>1462440000</v>
      </c>
      <c r="C70" s="5">
        <f>SUM(C65:C69)</f>
        <v>991943136.0799999</v>
      </c>
      <c r="D70" s="5">
        <f>SUM(D65:D69)</f>
        <v>167501400</v>
      </c>
      <c r="E70" s="5">
        <f>SUM(E65:E69)</f>
        <v>1159444536.08</v>
      </c>
      <c r="F70" s="20">
        <f t="shared" si="3"/>
        <v>0.7928151145209376</v>
      </c>
      <c r="G70" s="62">
        <f t="shared" si="4"/>
        <v>-302995463.9200001</v>
      </c>
    </row>
    <row r="71" spans="1:7" ht="15">
      <c r="A71" s="58"/>
      <c r="B71" s="5"/>
      <c r="C71" s="5"/>
      <c r="D71" s="5"/>
      <c r="E71" s="5"/>
      <c r="F71" s="20"/>
      <c r="G71" s="62"/>
    </row>
    <row r="72" spans="1:7" ht="15.75" thickBot="1">
      <c r="A72" s="81"/>
      <c r="B72" s="82"/>
      <c r="C72" s="82"/>
      <c r="D72" s="82"/>
      <c r="E72" s="82"/>
      <c r="F72" s="83"/>
      <c r="G72" s="84"/>
    </row>
    <row r="73" spans="1:7" ht="15">
      <c r="A73" s="67" t="s">
        <v>44</v>
      </c>
      <c r="B73" s="80"/>
      <c r="C73" s="44"/>
      <c r="D73" s="44"/>
      <c r="E73" s="48"/>
      <c r="F73" s="47"/>
      <c r="G73" s="68"/>
    </row>
    <row r="74" spans="1:7" ht="15">
      <c r="A74" s="58" t="s">
        <v>45</v>
      </c>
      <c r="B74" s="4"/>
      <c r="C74" s="12"/>
      <c r="D74" s="18"/>
      <c r="E74" s="6"/>
      <c r="F74" s="16"/>
      <c r="G74" s="60"/>
    </row>
    <row r="75" spans="1:7" ht="15">
      <c r="A75" s="59" t="s">
        <v>46</v>
      </c>
      <c r="B75" s="23">
        <v>462215165</v>
      </c>
      <c r="C75" s="6">
        <v>500000000</v>
      </c>
      <c r="D75" s="6">
        <v>0</v>
      </c>
      <c r="E75" s="6">
        <f>C75+D75</f>
        <v>500000000</v>
      </c>
      <c r="F75" s="16">
        <f>E75/B75*100%</f>
        <v>1.0817472853795267</v>
      </c>
      <c r="G75" s="60">
        <f>E75-B75</f>
        <v>37784835</v>
      </c>
    </row>
    <row r="76" spans="1:7" ht="15">
      <c r="A76" s="59" t="s">
        <v>47</v>
      </c>
      <c r="B76" s="23">
        <v>384000000</v>
      </c>
      <c r="C76" s="6">
        <v>0</v>
      </c>
      <c r="D76" s="6">
        <v>0</v>
      </c>
      <c r="E76" s="6">
        <f>C76+D76</f>
        <v>0</v>
      </c>
      <c r="F76" s="16">
        <f>E76/B76*100%</f>
        <v>0</v>
      </c>
      <c r="G76" s="60">
        <f>E76-B76</f>
        <v>-384000000</v>
      </c>
    </row>
    <row r="77" spans="1:7" ht="15">
      <c r="A77" s="58" t="s">
        <v>48</v>
      </c>
      <c r="B77" s="5">
        <f>SUM(B75:B76)</f>
        <v>846215165</v>
      </c>
      <c r="C77" s="5">
        <f>SUM(C75:C76)</f>
        <v>500000000</v>
      </c>
      <c r="D77" s="5">
        <f>SUM(D75:D76)</f>
        <v>0</v>
      </c>
      <c r="E77" s="5">
        <f>SUM(E75:E76)</f>
        <v>500000000</v>
      </c>
      <c r="F77" s="20">
        <f>E77/B77*100%</f>
        <v>0.5908662721732244</v>
      </c>
      <c r="G77" s="62">
        <f>E77-B77</f>
        <v>-346215165</v>
      </c>
    </row>
    <row r="78" spans="1:7" ht="15">
      <c r="A78" s="58"/>
      <c r="B78" s="5"/>
      <c r="C78" s="5"/>
      <c r="D78" s="5"/>
      <c r="E78" s="5"/>
      <c r="F78" s="20"/>
      <c r="G78" s="62"/>
    </row>
    <row r="79" spans="1:7" ht="15">
      <c r="A79" s="58" t="s">
        <v>49</v>
      </c>
      <c r="B79" s="6"/>
      <c r="C79" s="6"/>
      <c r="D79" s="6"/>
      <c r="E79" s="6"/>
      <c r="F79" s="16"/>
      <c r="G79" s="60"/>
    </row>
    <row r="80" spans="1:9" ht="15">
      <c r="A80" s="59" t="s">
        <v>50</v>
      </c>
      <c r="B80" s="7">
        <v>2172844000</v>
      </c>
      <c r="C80" s="30">
        <v>406394576</v>
      </c>
      <c r="D80" s="30">
        <v>318661269.75</v>
      </c>
      <c r="E80" s="31">
        <f>C80+D80</f>
        <v>725055845.75</v>
      </c>
      <c r="F80" s="16">
        <f>E80/B80*100%</f>
        <v>0.3336897843333438</v>
      </c>
      <c r="G80" s="60">
        <f>E80-B80</f>
        <v>-1447788154.25</v>
      </c>
      <c r="I80" s="88"/>
    </row>
    <row r="81" spans="1:7" ht="15">
      <c r="A81" s="64" t="s">
        <v>94</v>
      </c>
      <c r="B81" s="25">
        <f>B80</f>
        <v>2172844000</v>
      </c>
      <c r="C81" s="25">
        <f>C80</f>
        <v>406394576</v>
      </c>
      <c r="D81" s="118">
        <f>D80</f>
        <v>318661269.75</v>
      </c>
      <c r="E81" s="25">
        <f>E80</f>
        <v>725055845.75</v>
      </c>
      <c r="F81" s="20">
        <f>E81/B81*100%</f>
        <v>0.3336897843333438</v>
      </c>
      <c r="G81" s="62">
        <f>E81-B81</f>
        <v>-1447788154.25</v>
      </c>
    </row>
    <row r="82" spans="1:7" ht="15">
      <c r="A82" s="64"/>
      <c r="B82" s="26"/>
      <c r="C82" s="29"/>
      <c r="D82" s="38"/>
      <c r="E82" s="38"/>
      <c r="F82" s="20"/>
      <c r="G82" s="62"/>
    </row>
    <row r="83" spans="1:7" ht="26.25">
      <c r="A83" s="64" t="s">
        <v>51</v>
      </c>
      <c r="B83" s="5">
        <f>B81+B77</f>
        <v>3019059165</v>
      </c>
      <c r="C83" s="32">
        <f>C81+C77</f>
        <v>906394576</v>
      </c>
      <c r="D83" s="32">
        <f>D81+D77</f>
        <v>318661269.75</v>
      </c>
      <c r="E83" s="32">
        <f>E81+E77</f>
        <v>1225055845.75</v>
      </c>
      <c r="F83" s="20">
        <f>E83/B83*100%</f>
        <v>0.40577404376571735</v>
      </c>
      <c r="G83" s="62">
        <f>E83-B83</f>
        <v>-1794003319.25</v>
      </c>
    </row>
    <row r="84" spans="1:7" ht="15">
      <c r="A84" s="58"/>
      <c r="B84" s="5"/>
      <c r="C84" s="32"/>
      <c r="D84" s="32"/>
      <c r="E84" s="31"/>
      <c r="F84" s="20"/>
      <c r="G84" s="62"/>
    </row>
    <row r="85" spans="1:7" ht="15">
      <c r="A85" s="58" t="s">
        <v>52</v>
      </c>
      <c r="B85" s="5">
        <f>B70+B77+B81</f>
        <v>4481499165</v>
      </c>
      <c r="C85" s="32">
        <f>C83+C70</f>
        <v>1898337712.08</v>
      </c>
      <c r="D85" s="32">
        <f>D83+D70</f>
        <v>486162669.75</v>
      </c>
      <c r="E85" s="32">
        <f>E83+E70</f>
        <v>2384500381.83</v>
      </c>
      <c r="F85" s="20">
        <f>E85/B85*100%</f>
        <v>0.5320764980729389</v>
      </c>
      <c r="G85" s="62">
        <f>E85-B85</f>
        <v>-2096998783.17</v>
      </c>
    </row>
    <row r="86" spans="1:7" ht="15">
      <c r="A86" s="58"/>
      <c r="B86" s="5"/>
      <c r="C86" s="32"/>
      <c r="D86" s="32"/>
      <c r="E86" s="31"/>
      <c r="F86" s="16"/>
      <c r="G86" s="60"/>
    </row>
    <row r="87" spans="1:7" ht="15">
      <c r="A87" s="58" t="s">
        <v>53</v>
      </c>
      <c r="B87" s="5">
        <f>B85+B60+B31</f>
        <v>11409879000</v>
      </c>
      <c r="C87" s="32">
        <f>C85+C60+C31</f>
        <v>6286468436.55</v>
      </c>
      <c r="D87" s="32">
        <f>D85+D60+D31</f>
        <v>999046794.13</v>
      </c>
      <c r="E87" s="32">
        <f>E85+E60+E31</f>
        <v>7285515230.68</v>
      </c>
      <c r="F87" s="20">
        <f>E87/B87*100%</f>
        <v>0.6385269493813213</v>
      </c>
      <c r="G87" s="62">
        <f>E87-B87</f>
        <v>-4124363769.3199997</v>
      </c>
    </row>
    <row r="88" spans="1:7" ht="15">
      <c r="A88" s="1"/>
      <c r="B88" s="5"/>
      <c r="C88" s="32"/>
      <c r="D88" s="32"/>
      <c r="E88" s="32"/>
      <c r="F88" s="20"/>
      <c r="G88" s="5"/>
    </row>
    <row r="89" spans="1:9" ht="15">
      <c r="A89" s="67" t="s">
        <v>54</v>
      </c>
      <c r="B89" s="78"/>
      <c r="C89" s="45"/>
      <c r="D89" s="45"/>
      <c r="E89" s="79"/>
      <c r="F89" s="47"/>
      <c r="G89" s="68"/>
      <c r="I89" s="126"/>
    </row>
    <row r="90" spans="1:9" ht="15">
      <c r="A90" s="58" t="s">
        <v>55</v>
      </c>
      <c r="B90" s="4"/>
      <c r="C90" s="123"/>
      <c r="D90" s="33"/>
      <c r="E90" s="32"/>
      <c r="F90" s="16"/>
      <c r="G90" s="60"/>
      <c r="I90" s="126"/>
    </row>
    <row r="91" spans="1:7" ht="15">
      <c r="A91" s="58" t="s">
        <v>56</v>
      </c>
      <c r="B91" s="12"/>
      <c r="C91" s="39"/>
      <c r="D91" s="39"/>
      <c r="E91" s="32"/>
      <c r="F91" s="16"/>
      <c r="G91" s="60"/>
    </row>
    <row r="92" spans="1:9" ht="15">
      <c r="A92" s="59" t="s">
        <v>80</v>
      </c>
      <c r="B92" s="18">
        <f>670523000+42088000</f>
        <v>712611000</v>
      </c>
      <c r="C92" s="40">
        <v>641956000</v>
      </c>
      <c r="D92" s="40">
        <v>0</v>
      </c>
      <c r="E92" s="40">
        <f>C92+D92</f>
        <v>641956000</v>
      </c>
      <c r="F92" s="16">
        <f>E92/B92*100%</f>
        <v>0.9008505341623971</v>
      </c>
      <c r="G92" s="60">
        <f>E92-B92</f>
        <v>-70655000</v>
      </c>
      <c r="I92" s="88"/>
    </row>
    <row r="93" spans="1:9" ht="15">
      <c r="A93" s="59" t="s">
        <v>57</v>
      </c>
      <c r="B93" s="6">
        <v>333315000</v>
      </c>
      <c r="C93" s="40">
        <v>129477000</v>
      </c>
      <c r="D93" s="40">
        <v>0</v>
      </c>
      <c r="E93" s="40">
        <f aca="true" t="shared" si="5" ref="E93:E98">C93+D93</f>
        <v>129477000</v>
      </c>
      <c r="F93" s="16">
        <f aca="true" t="shared" si="6" ref="F93:F99">E93/B93*100%</f>
        <v>0.3884523648800684</v>
      </c>
      <c r="G93" s="60">
        <f aca="true" t="shared" si="7" ref="G93:G99">E93-B93</f>
        <v>-203838000</v>
      </c>
      <c r="I93" s="121"/>
    </row>
    <row r="94" spans="1:9" ht="15">
      <c r="A94" s="59" t="s">
        <v>58</v>
      </c>
      <c r="B94" s="17">
        <v>1099360000</v>
      </c>
      <c r="C94" s="40">
        <v>310673000</v>
      </c>
      <c r="D94" s="40">
        <v>0</v>
      </c>
      <c r="E94" s="40">
        <f t="shared" si="5"/>
        <v>310673000</v>
      </c>
      <c r="F94" s="16">
        <f t="shared" si="6"/>
        <v>0.2825944185708048</v>
      </c>
      <c r="G94" s="60">
        <f t="shared" si="7"/>
        <v>-788687000</v>
      </c>
      <c r="I94" s="87"/>
    </row>
    <row r="95" spans="1:9" ht="15">
      <c r="A95" s="59" t="s">
        <v>59</v>
      </c>
      <c r="B95" s="17">
        <v>1647264000</v>
      </c>
      <c r="C95" s="40">
        <v>1229651000</v>
      </c>
      <c r="D95" s="40">
        <v>0</v>
      </c>
      <c r="E95" s="40">
        <f t="shared" si="5"/>
        <v>1229651000</v>
      </c>
      <c r="F95" s="16">
        <f t="shared" si="6"/>
        <v>0.7464808312450221</v>
      </c>
      <c r="G95" s="60">
        <f t="shared" si="7"/>
        <v>-417613000</v>
      </c>
      <c r="I95" s="87"/>
    </row>
    <row r="96" spans="1:9" ht="15">
      <c r="A96" s="59" t="s">
        <v>60</v>
      </c>
      <c r="B96" s="17">
        <f>24982000+5421000</f>
        <v>30403000</v>
      </c>
      <c r="C96" s="40">
        <v>2712000</v>
      </c>
      <c r="D96" s="40">
        <v>0</v>
      </c>
      <c r="E96" s="40">
        <f t="shared" si="5"/>
        <v>2712000</v>
      </c>
      <c r="F96" s="16">
        <f t="shared" si="6"/>
        <v>0.08920172351412689</v>
      </c>
      <c r="G96" s="60">
        <f t="shared" si="7"/>
        <v>-27691000</v>
      </c>
      <c r="I96" s="126"/>
    </row>
    <row r="97" spans="1:7" ht="15">
      <c r="A97" s="59" t="s">
        <v>61</v>
      </c>
      <c r="B97" s="17">
        <v>27938000</v>
      </c>
      <c r="C97" s="40">
        <v>4656000</v>
      </c>
      <c r="D97" s="40">
        <v>0</v>
      </c>
      <c r="E97" s="40">
        <f t="shared" si="5"/>
        <v>4656000</v>
      </c>
      <c r="F97" s="16">
        <f t="shared" si="6"/>
        <v>0.16665473548571838</v>
      </c>
      <c r="G97" s="60">
        <f t="shared" si="7"/>
        <v>-23282000</v>
      </c>
    </row>
    <row r="98" spans="1:7" ht="15">
      <c r="A98" s="59" t="s">
        <v>62</v>
      </c>
      <c r="B98" s="17">
        <v>17132000</v>
      </c>
      <c r="C98" s="40">
        <v>2382000</v>
      </c>
      <c r="D98" s="40">
        <v>0</v>
      </c>
      <c r="E98" s="40">
        <f t="shared" si="5"/>
        <v>2382000</v>
      </c>
      <c r="F98" s="16">
        <f t="shared" si="6"/>
        <v>0.13903805743637637</v>
      </c>
      <c r="G98" s="60">
        <f t="shared" si="7"/>
        <v>-14750000</v>
      </c>
    </row>
    <row r="99" spans="1:9" ht="15">
      <c r="A99" s="65" t="s">
        <v>63</v>
      </c>
      <c r="B99" s="41">
        <f>SUM(B92:B98)</f>
        <v>3868023000</v>
      </c>
      <c r="C99" s="42">
        <f>SUM(C92:C98)</f>
        <v>2321507000</v>
      </c>
      <c r="D99" s="42">
        <f>SUM(D92:D98)</f>
        <v>0</v>
      </c>
      <c r="E99" s="42">
        <f>SUM(E92:E98)</f>
        <v>2321507000</v>
      </c>
      <c r="F99" s="43">
        <f t="shared" si="6"/>
        <v>0.600179212998475</v>
      </c>
      <c r="G99" s="66">
        <f t="shared" si="7"/>
        <v>-1546516000</v>
      </c>
      <c r="I99" s="126"/>
    </row>
    <row r="100" spans="1:9" ht="15">
      <c r="A100" s="58"/>
      <c r="B100" s="5"/>
      <c r="C100" s="32"/>
      <c r="D100" s="32"/>
      <c r="E100" s="32"/>
      <c r="F100" s="20"/>
      <c r="G100" s="62"/>
      <c r="I100" s="88"/>
    </row>
    <row r="101" spans="1:7" ht="15">
      <c r="A101" s="67" t="s">
        <v>64</v>
      </c>
      <c r="B101" s="44"/>
      <c r="C101" s="45"/>
      <c r="D101" s="45"/>
      <c r="E101" s="46"/>
      <c r="F101" s="47"/>
      <c r="G101" s="68"/>
    </row>
    <row r="102" spans="1:9" ht="15">
      <c r="A102" s="59" t="s">
        <v>65</v>
      </c>
      <c r="B102" s="6">
        <v>38649464000</v>
      </c>
      <c r="C102" s="85">
        <v>20040793244.866665</v>
      </c>
      <c r="D102" s="116">
        <v>3180267456</v>
      </c>
      <c r="E102" s="31">
        <f>C102+D102</f>
        <v>23221060700.866665</v>
      </c>
      <c r="F102" s="16">
        <f>E102/B102*100%</f>
        <v>0.6008119724730636</v>
      </c>
      <c r="G102" s="60">
        <f>E102-B102</f>
        <v>-15428403299.133335</v>
      </c>
      <c r="I102" s="121"/>
    </row>
    <row r="103" spans="1:7" ht="15">
      <c r="A103" s="58" t="s">
        <v>66</v>
      </c>
      <c r="B103" s="5">
        <f>SUM(B102)</f>
        <v>38649464000</v>
      </c>
      <c r="C103" s="32">
        <f>SUM(C102)</f>
        <v>20040793244.866665</v>
      </c>
      <c r="D103" s="32">
        <f>SUM(D102)</f>
        <v>3180267456</v>
      </c>
      <c r="E103" s="32">
        <f>SUM(E102)</f>
        <v>23221060700.866665</v>
      </c>
      <c r="F103" s="20">
        <f>E103/B103*100%</f>
        <v>0.6008119724730636</v>
      </c>
      <c r="G103" s="62">
        <f>E103-B103</f>
        <v>-15428403299.133335</v>
      </c>
    </row>
    <row r="104" spans="1:7" ht="15">
      <c r="A104" s="59"/>
      <c r="B104" s="6"/>
      <c r="C104" s="31"/>
      <c r="D104" s="31"/>
      <c r="E104" s="31"/>
      <c r="F104" s="16"/>
      <c r="G104" s="60"/>
    </row>
    <row r="105" spans="1:7" ht="15">
      <c r="A105" s="58" t="s">
        <v>67</v>
      </c>
      <c r="B105" s="5">
        <f>B103+B99</f>
        <v>42517487000</v>
      </c>
      <c r="C105" s="32">
        <f>C103+C99</f>
        <v>22362300244.866665</v>
      </c>
      <c r="D105" s="32">
        <f>D103+D99</f>
        <v>3180267456</v>
      </c>
      <c r="E105" s="32">
        <f>E103+E99</f>
        <v>25542567700.866665</v>
      </c>
      <c r="F105" s="20">
        <f>E105/B105*100%</f>
        <v>0.6007544072599273</v>
      </c>
      <c r="G105" s="62">
        <f>E105-B105</f>
        <v>-16974919299.133335</v>
      </c>
    </row>
    <row r="106" spans="1:7" ht="15">
      <c r="A106" s="56"/>
      <c r="B106" s="114"/>
      <c r="C106" s="99"/>
      <c r="D106" s="69"/>
      <c r="E106" s="100"/>
      <c r="F106" s="101"/>
      <c r="G106" s="102"/>
    </row>
    <row r="107" spans="1:7" ht="15">
      <c r="A107" s="98"/>
      <c r="B107" s="103"/>
      <c r="C107" s="104"/>
      <c r="D107" s="105"/>
      <c r="E107" s="106"/>
      <c r="F107" s="97"/>
      <c r="G107" s="6"/>
    </row>
    <row r="108" spans="1:7" ht="15">
      <c r="A108" s="58" t="s">
        <v>68</v>
      </c>
      <c r="B108" s="115"/>
      <c r="C108" s="45"/>
      <c r="D108" s="45"/>
      <c r="E108" s="46"/>
      <c r="F108" s="47"/>
      <c r="G108" s="68"/>
    </row>
    <row r="109" spans="1:7" ht="15">
      <c r="A109" s="59" t="s">
        <v>69</v>
      </c>
      <c r="B109" s="6">
        <v>10415000</v>
      </c>
      <c r="C109" s="31">
        <v>0</v>
      </c>
      <c r="D109" s="31">
        <v>0</v>
      </c>
      <c r="E109" s="31">
        <v>0</v>
      </c>
      <c r="F109" s="16">
        <f aca="true" t="shared" si="8" ref="F109:F119">E109/B109*100%</f>
        <v>0</v>
      </c>
      <c r="G109" s="60">
        <f aca="true" t="shared" si="9" ref="G109:G119">E109-B109</f>
        <v>-10415000</v>
      </c>
    </row>
    <row r="110" spans="1:7" ht="15">
      <c r="A110" s="59" t="s">
        <v>70</v>
      </c>
      <c r="B110" s="6">
        <v>434189000</v>
      </c>
      <c r="C110" s="31">
        <v>218745500</v>
      </c>
      <c r="D110" s="31">
        <v>0</v>
      </c>
      <c r="E110" s="31">
        <f aca="true" t="shared" si="10" ref="E110:E117">C110+D110</f>
        <v>218745500</v>
      </c>
      <c r="F110" s="16">
        <f t="shared" si="8"/>
        <v>0.5038024915417019</v>
      </c>
      <c r="G110" s="60">
        <f t="shared" si="9"/>
        <v>-215443500</v>
      </c>
    </row>
    <row r="111" spans="1:7" ht="15">
      <c r="A111" s="59" t="s">
        <v>71</v>
      </c>
      <c r="B111" s="6">
        <v>18838000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-18838000</v>
      </c>
    </row>
    <row r="112" spans="1:7" ht="15">
      <c r="A112" s="59" t="s">
        <v>78</v>
      </c>
      <c r="B112" s="6">
        <v>1646097000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-1646097000</v>
      </c>
    </row>
    <row r="113" spans="1:7" ht="15">
      <c r="A113" s="59" t="s">
        <v>72</v>
      </c>
      <c r="B113" s="6">
        <v>1151698000</v>
      </c>
      <c r="C113" s="31">
        <v>0</v>
      </c>
      <c r="D113" s="31">
        <v>258091866</v>
      </c>
      <c r="E113" s="31">
        <f t="shared" si="10"/>
        <v>258091866</v>
      </c>
      <c r="F113" s="16">
        <f t="shared" si="8"/>
        <v>0.22409682573035639</v>
      </c>
      <c r="G113" s="60">
        <f t="shared" si="9"/>
        <v>-893606134</v>
      </c>
    </row>
    <row r="114" spans="1:7" ht="15">
      <c r="A114" s="59" t="s">
        <v>73</v>
      </c>
      <c r="B114" s="6">
        <v>85819000</v>
      </c>
      <c r="C114" s="31">
        <v>67540000</v>
      </c>
      <c r="D114" s="31">
        <v>83191817.33</v>
      </c>
      <c r="E114" s="31">
        <f t="shared" si="10"/>
        <v>150731817.32999998</v>
      </c>
      <c r="F114" s="16">
        <f t="shared" si="8"/>
        <v>1.7563921431151608</v>
      </c>
      <c r="G114" s="60">
        <f t="shared" si="9"/>
        <v>64912817.32999998</v>
      </c>
    </row>
    <row r="115" spans="1:7" ht="15">
      <c r="A115" s="59" t="s">
        <v>104</v>
      </c>
      <c r="B115" s="6">
        <v>0</v>
      </c>
      <c r="C115" s="31">
        <v>1623028500</v>
      </c>
      <c r="D115" s="31">
        <v>0</v>
      </c>
      <c r="E115" s="31">
        <f t="shared" si="10"/>
        <v>1623028500</v>
      </c>
      <c r="F115" s="16">
        <v>0</v>
      </c>
      <c r="G115" s="60">
        <f t="shared" si="9"/>
        <v>1623028500</v>
      </c>
    </row>
    <row r="116" spans="1:7" ht="15">
      <c r="A116" s="59" t="s">
        <v>110</v>
      </c>
      <c r="B116" s="6">
        <v>0</v>
      </c>
      <c r="C116" s="31">
        <v>150424620.12</v>
      </c>
      <c r="D116" s="31">
        <v>284633390</v>
      </c>
      <c r="E116" s="31">
        <f>C116+D116</f>
        <v>435058010.12</v>
      </c>
      <c r="F116" s="16">
        <v>0</v>
      </c>
      <c r="G116" s="60">
        <f>E116-B116</f>
        <v>435058010.12</v>
      </c>
    </row>
    <row r="117" spans="1:7" ht="15">
      <c r="A117" s="59" t="s">
        <v>74</v>
      </c>
      <c r="B117" s="6">
        <v>32713000</v>
      </c>
      <c r="C117" s="31">
        <v>115625421</v>
      </c>
      <c r="D117" s="31">
        <v>0</v>
      </c>
      <c r="E117" s="31">
        <f t="shared" si="10"/>
        <v>115625421</v>
      </c>
      <c r="F117" s="16">
        <f t="shared" si="8"/>
        <v>3.53454042735304</v>
      </c>
      <c r="G117" s="60">
        <f t="shared" si="9"/>
        <v>82912421</v>
      </c>
    </row>
    <row r="118" spans="1:7" ht="20.25" customHeight="1">
      <c r="A118" s="58" t="s">
        <v>75</v>
      </c>
      <c r="B118" s="5">
        <f>SUM(B109:B117)</f>
        <v>3379769000</v>
      </c>
      <c r="C118" s="32">
        <f>SUM(C109:C117)</f>
        <v>2175364041.12</v>
      </c>
      <c r="D118" s="32">
        <f>SUM(D109:D117)</f>
        <v>625917073.3299999</v>
      </c>
      <c r="E118" s="32">
        <f>SUM(E109:E117)</f>
        <v>2801281114.45</v>
      </c>
      <c r="F118" s="20">
        <f t="shared" si="8"/>
        <v>0.828838040247721</v>
      </c>
      <c r="G118" s="60">
        <f t="shared" si="9"/>
        <v>-578487885.5500002</v>
      </c>
    </row>
    <row r="119" spans="1:7" ht="21" customHeight="1">
      <c r="A119" s="65" t="s">
        <v>76</v>
      </c>
      <c r="B119" s="41">
        <f>B118+B105</f>
        <v>45897256000</v>
      </c>
      <c r="C119" s="42">
        <f>C118+C105</f>
        <v>24537664285.986664</v>
      </c>
      <c r="D119" s="42">
        <f>D118+D105</f>
        <v>3806184529.33</v>
      </c>
      <c r="E119" s="42">
        <f>E118+E105</f>
        <v>28343848815.316666</v>
      </c>
      <c r="F119" s="43">
        <f t="shared" si="8"/>
        <v>0.617549964540727</v>
      </c>
      <c r="G119" s="66">
        <f t="shared" si="9"/>
        <v>-17553407184.683334</v>
      </c>
    </row>
    <row r="120" spans="1:7" ht="21" customHeight="1">
      <c r="A120" s="1"/>
      <c r="B120" s="5"/>
      <c r="C120" s="32"/>
      <c r="D120" s="32"/>
      <c r="E120" s="32"/>
      <c r="F120" s="20"/>
      <c r="G120" s="5"/>
    </row>
    <row r="121" spans="1:7" ht="20.25" customHeight="1">
      <c r="A121" s="93" t="s">
        <v>96</v>
      </c>
      <c r="B121" s="94"/>
      <c r="C121" s="92"/>
      <c r="D121" s="92"/>
      <c r="E121" s="92"/>
      <c r="F121" s="95"/>
      <c r="G121" s="96"/>
    </row>
    <row r="122" spans="1:7" ht="20.25" customHeight="1">
      <c r="A122" s="59" t="s">
        <v>124</v>
      </c>
      <c r="B122" s="6">
        <v>0</v>
      </c>
      <c r="C122" s="31">
        <v>12233921.7</v>
      </c>
      <c r="D122" s="31">
        <v>0</v>
      </c>
      <c r="E122" s="31">
        <f>C122+D122</f>
        <v>12233921.7</v>
      </c>
      <c r="F122" s="16">
        <v>1</v>
      </c>
      <c r="G122" s="60">
        <f>E122-B122</f>
        <v>12233921.7</v>
      </c>
    </row>
    <row r="123" spans="1:7" ht="17.25" customHeight="1">
      <c r="A123" s="59" t="s">
        <v>92</v>
      </c>
      <c r="B123" s="6">
        <v>0</v>
      </c>
      <c r="C123" s="31">
        <v>0</v>
      </c>
      <c r="D123" s="31">
        <v>0</v>
      </c>
      <c r="E123" s="31">
        <f>C123+D123</f>
        <v>0</v>
      </c>
      <c r="F123" s="16">
        <v>1</v>
      </c>
      <c r="G123" s="60">
        <f>E123-B123</f>
        <v>0</v>
      </c>
    </row>
    <row r="124" spans="1:7" ht="21" customHeight="1" thickBot="1">
      <c r="A124" s="93" t="s">
        <v>97</v>
      </c>
      <c r="B124" s="94">
        <f>SUM(B122:B123)</f>
        <v>0</v>
      </c>
      <c r="C124" s="94">
        <f>SUM(C122:C123)</f>
        <v>12233921.7</v>
      </c>
      <c r="D124" s="94">
        <f>SUM(D122:D123)</f>
        <v>0</v>
      </c>
      <c r="E124" s="42">
        <f>C124+D124</f>
        <v>12233921.7</v>
      </c>
      <c r="F124" s="43">
        <v>1</v>
      </c>
      <c r="G124" s="66">
        <f>E124-B124</f>
        <v>12233921.7</v>
      </c>
    </row>
    <row r="125" spans="1:7" ht="21" customHeight="1" thickBot="1">
      <c r="A125" s="49" t="s">
        <v>98</v>
      </c>
      <c r="B125" s="50">
        <f>B118+B124</f>
        <v>3379769000</v>
      </c>
      <c r="C125" s="50">
        <f>C118+C124</f>
        <v>2187597962.8199997</v>
      </c>
      <c r="D125" s="50">
        <f>D118+D124</f>
        <v>625917073.3299999</v>
      </c>
      <c r="E125" s="50">
        <f>E118+E124</f>
        <v>2813515036.1499996</v>
      </c>
      <c r="F125" s="51">
        <f>E125/B125*100%</f>
        <v>0.8324577910945984</v>
      </c>
      <c r="G125" s="52">
        <f>E125-B125</f>
        <v>-566253963.8500004</v>
      </c>
    </row>
    <row r="126" spans="1:7" ht="28.5" customHeight="1" thickBot="1">
      <c r="A126" s="49" t="s">
        <v>77</v>
      </c>
      <c r="B126" s="50">
        <f>B119+B87+B124</f>
        <v>57307135000</v>
      </c>
      <c r="C126" s="50">
        <f>C119+C87+C125</f>
        <v>33011730685.356663</v>
      </c>
      <c r="D126" s="50">
        <f>D119+D87+D125</f>
        <v>5431148396.79</v>
      </c>
      <c r="E126" s="50">
        <f>E119+E87+E125</f>
        <v>38442879082.14667</v>
      </c>
      <c r="F126" s="51">
        <f>E126/B126*100%</f>
        <v>0.6708218633185321</v>
      </c>
      <c r="G126" s="52">
        <f>E126-B126</f>
        <v>-18864255917.853333</v>
      </c>
    </row>
    <row r="127" spans="3:5" ht="15">
      <c r="C127" s="126"/>
      <c r="E127" s="113"/>
    </row>
    <row r="128" spans="2:5" ht="15">
      <c r="B128" s="113"/>
      <c r="D128" s="113"/>
      <c r="E128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95">
      <selection activeCell="D102" sqref="D102"/>
    </sheetView>
  </sheetViews>
  <sheetFormatPr defaultColWidth="9.140625" defaultRowHeight="15"/>
  <cols>
    <col min="1" max="1" width="33.8515625" style="21" customWidth="1"/>
    <col min="2" max="2" width="16.421875" style="21" customWidth="1"/>
    <col min="3" max="3" width="17.00390625" style="21" customWidth="1"/>
    <col min="4" max="4" width="15.57421875" style="21" customWidth="1"/>
    <col min="5" max="5" width="16.8515625" style="21" customWidth="1"/>
    <col min="6" max="6" width="10.140625" style="21" customWidth="1"/>
    <col min="7" max="7" width="17.140625" style="21" customWidth="1"/>
    <col min="8" max="8" width="9.140625" style="21" customWidth="1"/>
    <col min="9" max="9" width="17.8515625" style="21" customWidth="1"/>
    <col min="10" max="16384" width="9.140625" style="21" customWidth="1"/>
  </cols>
  <sheetData>
    <row r="1" spans="1:7" ht="18">
      <c r="A1" s="13"/>
      <c r="B1" s="2"/>
      <c r="C1" s="2"/>
      <c r="D1" s="2"/>
      <c r="E1" s="13"/>
      <c r="F1" s="14"/>
      <c r="G1" s="13"/>
    </row>
    <row r="2" spans="1:7" ht="20.25">
      <c r="A2" s="13"/>
      <c r="B2" s="131" t="s">
        <v>0</v>
      </c>
      <c r="C2" s="131"/>
      <c r="D2" s="131"/>
      <c r="E2" s="3"/>
      <c r="F2" s="8"/>
      <c r="G2" s="3"/>
    </row>
    <row r="3" spans="1:7" ht="18" customHeight="1">
      <c r="A3" s="13"/>
      <c r="B3" s="132" t="s">
        <v>129</v>
      </c>
      <c r="C3" s="132"/>
      <c r="D3" s="132"/>
      <c r="E3" s="3"/>
      <c r="F3" s="8"/>
      <c r="G3" s="3"/>
    </row>
    <row r="4" spans="1:7" ht="15.75">
      <c r="A4" s="34" t="s">
        <v>1</v>
      </c>
      <c r="B4" s="22"/>
      <c r="C4" s="3"/>
      <c r="D4" s="3"/>
      <c r="E4" s="109"/>
      <c r="F4" s="8"/>
      <c r="G4" s="3"/>
    </row>
    <row r="5" spans="1:7" ht="18.75" thickBot="1">
      <c r="A5" s="35" t="s">
        <v>2</v>
      </c>
      <c r="B5" s="22"/>
      <c r="C5" s="3"/>
      <c r="D5" s="3"/>
      <c r="E5" s="3"/>
      <c r="F5" s="8"/>
      <c r="G5" s="3"/>
    </row>
    <row r="6" spans="1:7" ht="38.25" customHeight="1">
      <c r="A6" s="11"/>
      <c r="B6" s="9" t="s">
        <v>3</v>
      </c>
      <c r="C6" s="9" t="s">
        <v>115</v>
      </c>
      <c r="D6" s="9" t="s">
        <v>116</v>
      </c>
      <c r="E6" s="9" t="s">
        <v>88</v>
      </c>
      <c r="F6" s="19" t="s">
        <v>79</v>
      </c>
      <c r="G6" s="10"/>
    </row>
    <row r="7" spans="1:7" ht="15.75" thickBot="1">
      <c r="A7" s="74" t="s">
        <v>4</v>
      </c>
      <c r="B7" s="75" t="s">
        <v>99</v>
      </c>
      <c r="C7" s="112" t="s">
        <v>130</v>
      </c>
      <c r="D7" s="112" t="s">
        <v>131</v>
      </c>
      <c r="E7" s="75" t="s">
        <v>132</v>
      </c>
      <c r="F7" s="76" t="s">
        <v>5</v>
      </c>
      <c r="G7" s="77" t="s">
        <v>6</v>
      </c>
    </row>
    <row r="8" spans="1:7" ht="15">
      <c r="A8" s="53" t="s">
        <v>7</v>
      </c>
      <c r="B8" s="54"/>
      <c r="C8" s="54"/>
      <c r="D8" s="54"/>
      <c r="E8" s="54"/>
      <c r="F8" s="54"/>
      <c r="G8" s="55"/>
    </row>
    <row r="9" spans="1:7" ht="15">
      <c r="A9" s="56"/>
      <c r="B9" s="12"/>
      <c r="C9" s="12"/>
      <c r="D9" s="12"/>
      <c r="E9" s="12"/>
      <c r="F9" s="15"/>
      <c r="G9" s="57"/>
    </row>
    <row r="10" spans="1:7" ht="15">
      <c r="A10" s="58" t="s">
        <v>8</v>
      </c>
      <c r="B10" s="12"/>
      <c r="C10" s="12"/>
      <c r="D10" s="12"/>
      <c r="E10" s="12"/>
      <c r="F10" s="15"/>
      <c r="G10" s="57"/>
    </row>
    <row r="11" spans="1:7" ht="15">
      <c r="A11" s="59" t="s">
        <v>90</v>
      </c>
      <c r="B11" s="23">
        <v>58200000</v>
      </c>
      <c r="C11" s="6">
        <v>9000000</v>
      </c>
      <c r="D11" s="6">
        <v>900000</v>
      </c>
      <c r="E11" s="6">
        <f>C11+D11</f>
        <v>9900000</v>
      </c>
      <c r="F11" s="16">
        <f>E11/B11*100%</f>
        <v>0.17010309278350516</v>
      </c>
      <c r="G11" s="60">
        <f>E11-B11</f>
        <v>-48300000</v>
      </c>
    </row>
    <row r="12" spans="1:7" ht="15.75">
      <c r="A12" s="61" t="s">
        <v>82</v>
      </c>
      <c r="B12" s="23">
        <v>32400000</v>
      </c>
      <c r="C12" s="6">
        <v>2760000</v>
      </c>
      <c r="D12" s="6">
        <v>650000</v>
      </c>
      <c r="E12" s="6">
        <f>C12+D12</f>
        <v>3410000</v>
      </c>
      <c r="F12" s="16">
        <f>E12/B12*100%</f>
        <v>0.10524691358024692</v>
      </c>
      <c r="G12" s="60">
        <f>E12-B12</f>
        <v>-28990000</v>
      </c>
    </row>
    <row r="13" spans="1:7" ht="15">
      <c r="A13" s="58" t="s">
        <v>9</v>
      </c>
      <c r="B13" s="5">
        <f>SUM(B11:B12)</f>
        <v>90600000</v>
      </c>
      <c r="C13" s="5">
        <f>SUM(C11:C12)</f>
        <v>11760000</v>
      </c>
      <c r="D13" s="5">
        <f>SUM(D11:D12)</f>
        <v>1550000</v>
      </c>
      <c r="E13" s="5">
        <f>SUM(E11:E12)</f>
        <v>13310000</v>
      </c>
      <c r="F13" s="20">
        <f>E13/B13*100%</f>
        <v>0.14690949227373068</v>
      </c>
      <c r="G13" s="62">
        <f>E13-B13</f>
        <v>-77290000</v>
      </c>
    </row>
    <row r="14" spans="1:7" ht="15">
      <c r="A14" s="58"/>
      <c r="B14" s="5"/>
      <c r="C14" s="5"/>
      <c r="D14" s="5"/>
      <c r="E14" s="6"/>
      <c r="F14" s="20"/>
      <c r="G14" s="62"/>
    </row>
    <row r="15" spans="1:7" ht="15">
      <c r="A15" s="58"/>
      <c r="B15" s="5"/>
      <c r="C15" s="5"/>
      <c r="D15" s="5"/>
      <c r="E15" s="6"/>
      <c r="F15" s="16"/>
      <c r="G15" s="60"/>
    </row>
    <row r="16" spans="1:7" ht="15">
      <c r="A16" s="58" t="s">
        <v>10</v>
      </c>
      <c r="B16" s="12"/>
      <c r="C16" s="12"/>
      <c r="D16" s="12"/>
      <c r="F16" s="16"/>
      <c r="G16" s="60"/>
    </row>
    <row r="17" spans="1:7" ht="15">
      <c r="A17" s="59" t="s">
        <v>11</v>
      </c>
      <c r="B17" s="23">
        <v>30000000</v>
      </c>
      <c r="C17" s="6">
        <v>2500000</v>
      </c>
      <c r="D17" s="6">
        <v>800000</v>
      </c>
      <c r="E17" s="6">
        <f>C17+D17</f>
        <v>3300000</v>
      </c>
      <c r="F17" s="16">
        <f aca="true" t="shared" si="0" ref="F17:F26">E17/B17*100%</f>
        <v>0.11</v>
      </c>
      <c r="G17" s="60">
        <f aca="true" t="shared" si="1" ref="G17:G26">E17-B17</f>
        <v>-26700000</v>
      </c>
    </row>
    <row r="18" spans="1:7" ht="15">
      <c r="A18" s="59" t="s">
        <v>12</v>
      </c>
      <c r="B18" s="23">
        <v>10000000</v>
      </c>
      <c r="C18" s="6">
        <v>9956953</v>
      </c>
      <c r="D18" s="6">
        <v>0</v>
      </c>
      <c r="E18" s="6">
        <f aca="true" t="shared" si="2" ref="E18:E26">C18+D18</f>
        <v>9956953</v>
      </c>
      <c r="F18" s="16">
        <f t="shared" si="0"/>
        <v>0.9956953</v>
      </c>
      <c r="G18" s="60">
        <f t="shared" si="1"/>
        <v>-43047</v>
      </c>
    </row>
    <row r="19" spans="1:7" ht="15">
      <c r="A19" s="59" t="s">
        <v>13</v>
      </c>
      <c r="B19" s="23">
        <v>40156000</v>
      </c>
      <c r="C19" s="6">
        <v>25386000</v>
      </c>
      <c r="D19" s="6">
        <v>1632000</v>
      </c>
      <c r="E19" s="6">
        <f t="shared" si="2"/>
        <v>27018000</v>
      </c>
      <c r="F19" s="16">
        <f t="shared" si="0"/>
        <v>0.6728259786831358</v>
      </c>
      <c r="G19" s="60">
        <f t="shared" si="1"/>
        <v>-13138000</v>
      </c>
    </row>
    <row r="20" spans="1:7" ht="15">
      <c r="A20" s="59" t="s">
        <v>91</v>
      </c>
      <c r="B20" s="23">
        <v>1461910000</v>
      </c>
      <c r="C20" s="6">
        <v>1008813357.6700001</v>
      </c>
      <c r="D20" s="6">
        <f>57013682.52</f>
        <v>57013682.52</v>
      </c>
      <c r="E20" s="6">
        <f t="shared" si="2"/>
        <v>1065827040.19</v>
      </c>
      <c r="F20" s="16">
        <f t="shared" si="0"/>
        <v>0.7290647441976593</v>
      </c>
      <c r="G20" s="60">
        <f t="shared" si="1"/>
        <v>-396082959.80999994</v>
      </c>
    </row>
    <row r="21" spans="1:7" ht="15.75" customHeight="1">
      <c r="A21" s="59" t="s">
        <v>81</v>
      </c>
      <c r="B21" s="23">
        <v>14600000</v>
      </c>
      <c r="C21" s="6">
        <v>10935971.11</v>
      </c>
      <c r="D21" s="6">
        <v>0</v>
      </c>
      <c r="E21" s="6">
        <f t="shared" si="2"/>
        <v>10935971.11</v>
      </c>
      <c r="F21" s="16">
        <f t="shared" si="0"/>
        <v>0.7490391171232876</v>
      </c>
      <c r="G21" s="60">
        <f t="shared" si="1"/>
        <v>-3664028.8900000006</v>
      </c>
    </row>
    <row r="22" spans="1:7" ht="15">
      <c r="A22" s="59" t="s">
        <v>14</v>
      </c>
      <c r="B22" s="23">
        <v>2616666835</v>
      </c>
      <c r="C22" s="6">
        <v>2017850722.75</v>
      </c>
      <c r="D22" s="6">
        <v>261707190.58</v>
      </c>
      <c r="E22" s="6">
        <f t="shared" si="2"/>
        <v>2279557913.33</v>
      </c>
      <c r="F22" s="16">
        <f t="shared" si="0"/>
        <v>0.8711685732547605</v>
      </c>
      <c r="G22" s="60">
        <f t="shared" si="1"/>
        <v>-337108921.6700001</v>
      </c>
    </row>
    <row r="23" spans="1:7" ht="15">
      <c r="A23" s="59" t="s">
        <v>128</v>
      </c>
      <c r="B23" s="29">
        <v>293750000</v>
      </c>
      <c r="C23" s="29">
        <v>5133869.32</v>
      </c>
      <c r="D23" s="6">
        <v>12314750</v>
      </c>
      <c r="E23" s="6">
        <f t="shared" si="2"/>
        <v>17448619.32</v>
      </c>
      <c r="F23" s="16">
        <f t="shared" si="0"/>
        <v>0.059399555131914895</v>
      </c>
      <c r="G23" s="60">
        <f t="shared" si="1"/>
        <v>-276301380.68</v>
      </c>
    </row>
    <row r="24" spans="1:7" ht="15">
      <c r="A24" s="59" t="s">
        <v>15</v>
      </c>
      <c r="B24" s="23">
        <v>9600000</v>
      </c>
      <c r="C24" s="6">
        <v>5280000</v>
      </c>
      <c r="D24" s="6">
        <v>0</v>
      </c>
      <c r="E24" s="6">
        <f t="shared" si="2"/>
        <v>5280000</v>
      </c>
      <c r="F24" s="16">
        <f t="shared" si="0"/>
        <v>0.55</v>
      </c>
      <c r="G24" s="60">
        <f t="shared" si="1"/>
        <v>-4320000</v>
      </c>
    </row>
    <row r="25" spans="1:9" ht="15">
      <c r="A25" s="59" t="s">
        <v>16</v>
      </c>
      <c r="B25" s="23">
        <v>1396060000</v>
      </c>
      <c r="C25" s="6">
        <v>956874650</v>
      </c>
      <c r="D25" s="6">
        <f>121814500+5515250</f>
        <v>127329750</v>
      </c>
      <c r="E25" s="6">
        <f t="shared" si="2"/>
        <v>1084204400</v>
      </c>
      <c r="F25" s="16">
        <f t="shared" si="0"/>
        <v>0.7766173373637236</v>
      </c>
      <c r="G25" s="60">
        <f t="shared" si="1"/>
        <v>-311855600</v>
      </c>
      <c r="I25" s="113"/>
    </row>
    <row r="26" spans="1:7" ht="15">
      <c r="A26" s="58" t="s">
        <v>17</v>
      </c>
      <c r="B26" s="5">
        <f>SUM(B17:B25)</f>
        <v>5872742835</v>
      </c>
      <c r="C26" s="5">
        <f>SUM(C17:C25)</f>
        <v>4042731523.8500004</v>
      </c>
      <c r="D26" s="5">
        <f>SUM(D17:D25)</f>
        <v>460797373.1</v>
      </c>
      <c r="E26" s="5">
        <f t="shared" si="2"/>
        <v>4503528896.950001</v>
      </c>
      <c r="F26" s="20">
        <f t="shared" si="0"/>
        <v>0.7668527336341301</v>
      </c>
      <c r="G26" s="62">
        <f t="shared" si="1"/>
        <v>-1369213938.0499992</v>
      </c>
    </row>
    <row r="27" spans="1:7" ht="15">
      <c r="A27" s="58"/>
      <c r="B27" s="5"/>
      <c r="C27" s="5"/>
      <c r="D27" s="5"/>
      <c r="E27" s="6"/>
      <c r="F27" s="16"/>
      <c r="G27" s="60"/>
    </row>
    <row r="28" spans="1:7" ht="15">
      <c r="A28" s="58" t="s">
        <v>18</v>
      </c>
      <c r="B28" s="12"/>
      <c r="C28" s="12"/>
      <c r="D28" s="12"/>
      <c r="E28" s="6"/>
      <c r="F28" s="16"/>
      <c r="G28" s="60"/>
    </row>
    <row r="29" spans="1:7" ht="15">
      <c r="A29" s="111" t="s">
        <v>12</v>
      </c>
      <c r="B29" s="23">
        <v>3000000</v>
      </c>
      <c r="C29" s="6">
        <v>2408000</v>
      </c>
      <c r="D29" s="6">
        <v>40000</v>
      </c>
      <c r="E29" s="6">
        <f>C29+D29</f>
        <v>2448000</v>
      </c>
      <c r="F29" s="16">
        <f>E29/B29*100%</f>
        <v>0.816</v>
      </c>
      <c r="G29" s="60">
        <f>E29-B29</f>
        <v>-552000</v>
      </c>
    </row>
    <row r="30" spans="1:7" ht="15">
      <c r="A30" s="58" t="s">
        <v>19</v>
      </c>
      <c r="B30" s="5">
        <f>SUM(B29)</f>
        <v>3000000</v>
      </c>
      <c r="C30" s="5">
        <f>SUM(C29)</f>
        <v>2408000</v>
      </c>
      <c r="D30" s="5">
        <f>SUM(D29)</f>
        <v>40000</v>
      </c>
      <c r="E30" s="5">
        <f>C30+D30</f>
        <v>2448000</v>
      </c>
      <c r="F30" s="20">
        <f>E30/B30*100%</f>
        <v>0.816</v>
      </c>
      <c r="G30" s="62">
        <f>E30-B30</f>
        <v>-552000</v>
      </c>
    </row>
    <row r="31" spans="1:7" ht="15">
      <c r="A31" s="58" t="s">
        <v>20</v>
      </c>
      <c r="B31" s="5">
        <f>B13+B26+B30</f>
        <v>5966342835</v>
      </c>
      <c r="C31" s="5">
        <f>C30+C26+C13</f>
        <v>4056899523.8500004</v>
      </c>
      <c r="D31" s="5">
        <f>D30+D26+D13</f>
        <v>462387373.1</v>
      </c>
      <c r="E31" s="5">
        <f>E30+E26+E13</f>
        <v>4519286896.950001</v>
      </c>
      <c r="F31" s="20">
        <f>E31/B31*100%</f>
        <v>0.7574634951311846</v>
      </c>
      <c r="G31" s="62">
        <f>E31-B31</f>
        <v>-1447055938.0499992</v>
      </c>
    </row>
    <row r="32" spans="1:7" ht="15">
      <c r="A32" s="58"/>
      <c r="B32" s="5"/>
      <c r="C32" s="5"/>
      <c r="D32" s="5"/>
      <c r="E32" s="5"/>
      <c r="F32" s="20"/>
      <c r="G32" s="62"/>
    </row>
    <row r="33" spans="1:7" ht="15">
      <c r="A33" s="59"/>
      <c r="B33" s="6"/>
      <c r="C33" s="6"/>
      <c r="D33" s="6"/>
      <c r="E33" s="6"/>
      <c r="F33" s="16"/>
      <c r="G33" s="60"/>
    </row>
    <row r="34" spans="1:7" ht="15">
      <c r="A34" s="58" t="s">
        <v>21</v>
      </c>
      <c r="B34" s="4"/>
      <c r="C34" s="12"/>
      <c r="D34" s="110"/>
      <c r="E34" s="6"/>
      <c r="F34" s="16"/>
      <c r="G34" s="60"/>
    </row>
    <row r="35" spans="1:7" ht="15">
      <c r="A35" s="58" t="s">
        <v>22</v>
      </c>
      <c r="B35" s="4"/>
      <c r="C35" s="12"/>
      <c r="D35" s="12"/>
      <c r="E35" s="6"/>
      <c r="F35" s="16"/>
      <c r="G35" s="60"/>
    </row>
    <row r="36" spans="1:7" ht="15">
      <c r="A36" s="59" t="s">
        <v>23</v>
      </c>
      <c r="B36" s="23">
        <v>256200000</v>
      </c>
      <c r="C36" s="6">
        <v>151235540</v>
      </c>
      <c r="D36" s="6">
        <v>29282400</v>
      </c>
      <c r="E36" s="6">
        <f>C36+D36</f>
        <v>180517940</v>
      </c>
      <c r="F36" s="16">
        <f>E36/B36*100%</f>
        <v>0.7045977361436377</v>
      </c>
      <c r="G36" s="60">
        <f>E36-B36</f>
        <v>-75682060</v>
      </c>
    </row>
    <row r="37" spans="1:9" ht="15">
      <c r="A37" s="59" t="s">
        <v>24</v>
      </c>
      <c r="B37" s="23">
        <v>39600000</v>
      </c>
      <c r="C37" s="6">
        <v>14020385</v>
      </c>
      <c r="D37" s="6">
        <v>2785850</v>
      </c>
      <c r="E37" s="6">
        <f>C37+D37</f>
        <v>16806235</v>
      </c>
      <c r="F37" s="16">
        <f>E37/B37*100%</f>
        <v>0.42439987373737376</v>
      </c>
      <c r="G37" s="60">
        <f>E37-B37</f>
        <v>-22793765</v>
      </c>
      <c r="I37" s="113"/>
    </row>
    <row r="38" spans="1:7" ht="15">
      <c r="A38" s="59" t="s">
        <v>101</v>
      </c>
      <c r="B38" s="23">
        <v>8000000</v>
      </c>
      <c r="C38" s="6">
        <v>0</v>
      </c>
      <c r="D38" s="6">
        <v>0</v>
      </c>
      <c r="E38" s="6">
        <f>C38+D38</f>
        <v>0</v>
      </c>
      <c r="F38" s="16">
        <f>E38/B38*100%</f>
        <v>0</v>
      </c>
      <c r="G38" s="60">
        <f>E38-B38</f>
        <v>-8000000</v>
      </c>
    </row>
    <row r="39" spans="1:7" ht="15">
      <c r="A39" s="59" t="s">
        <v>25</v>
      </c>
      <c r="B39" s="23">
        <v>208777000</v>
      </c>
      <c r="C39" s="36">
        <v>83418400</v>
      </c>
      <c r="D39" s="6">
        <v>11305000</v>
      </c>
      <c r="E39" s="6">
        <f>C39+D39</f>
        <v>94723400</v>
      </c>
      <c r="F39" s="16">
        <f>E39/B39*100%</f>
        <v>0.45370610747352436</v>
      </c>
      <c r="G39" s="60">
        <f>E39-B39</f>
        <v>-114053600</v>
      </c>
    </row>
    <row r="40" spans="1:7" ht="15">
      <c r="A40" s="58" t="s">
        <v>26</v>
      </c>
      <c r="B40" s="5">
        <f>SUM(B36:B39)</f>
        <v>512577000</v>
      </c>
      <c r="C40" s="5">
        <f>SUM(C36:C39)</f>
        <v>248674325</v>
      </c>
      <c r="D40" s="5">
        <f>SUM(D36:D39)</f>
        <v>43373250</v>
      </c>
      <c r="E40" s="5">
        <f>SUM(E36:E39)</f>
        <v>292047575</v>
      </c>
      <c r="F40" s="20">
        <f>E40/B40*100%</f>
        <v>0.5697633233640994</v>
      </c>
      <c r="G40" s="62">
        <f>E40-B40</f>
        <v>-220529425</v>
      </c>
    </row>
    <row r="41" spans="1:7" ht="15">
      <c r="A41" s="1"/>
      <c r="B41" s="5"/>
      <c r="C41" s="5"/>
      <c r="D41" s="5"/>
      <c r="E41" s="5"/>
      <c r="F41" s="20"/>
      <c r="G41" s="62"/>
    </row>
    <row r="42" spans="1:7" ht="15">
      <c r="A42" s="1" t="s">
        <v>27</v>
      </c>
      <c r="B42" s="12"/>
      <c r="C42" s="12"/>
      <c r="D42" s="12"/>
      <c r="E42" s="6"/>
      <c r="F42" s="16"/>
      <c r="G42" s="60"/>
    </row>
    <row r="43" spans="1:7" ht="15">
      <c r="A43" s="59" t="s">
        <v>28</v>
      </c>
      <c r="B43" s="23">
        <v>520410000</v>
      </c>
      <c r="C43" s="36">
        <v>387741000</v>
      </c>
      <c r="D43" s="36">
        <v>0</v>
      </c>
      <c r="E43" s="6">
        <f>C43+D43</f>
        <v>387741000</v>
      </c>
      <c r="F43" s="16">
        <f>E43/B43*100%</f>
        <v>0.7450683115236064</v>
      </c>
      <c r="G43" s="60">
        <f>E43-B43</f>
        <v>-132669000</v>
      </c>
    </row>
    <row r="44" spans="1:7" ht="15">
      <c r="A44" s="58" t="s">
        <v>29</v>
      </c>
      <c r="B44" s="5">
        <f>SUM(B43)</f>
        <v>520410000</v>
      </c>
      <c r="C44" s="5">
        <f>SUM(C43)</f>
        <v>387741000</v>
      </c>
      <c r="D44" s="5">
        <f>SUM(D43)</f>
        <v>0</v>
      </c>
      <c r="E44" s="5">
        <f>SUM(E43)</f>
        <v>387741000</v>
      </c>
      <c r="F44" s="20">
        <f>E44/B44*100%</f>
        <v>0.7450683115236064</v>
      </c>
      <c r="G44" s="62">
        <f>E44-B44</f>
        <v>-132669000</v>
      </c>
    </row>
    <row r="45" spans="1:9" ht="15">
      <c r="A45" s="59"/>
      <c r="B45" s="6"/>
      <c r="C45" s="6"/>
      <c r="D45" s="6"/>
      <c r="E45" s="6"/>
      <c r="F45" s="16"/>
      <c r="G45" s="60"/>
      <c r="I45" s="126"/>
    </row>
    <row r="46" spans="1:7" ht="15">
      <c r="A46" s="58" t="s">
        <v>30</v>
      </c>
      <c r="B46" s="12"/>
      <c r="C46" s="12"/>
      <c r="D46" s="12"/>
      <c r="E46" s="86"/>
      <c r="F46" s="16"/>
      <c r="G46" s="60"/>
    </row>
    <row r="47" spans="1:7" ht="15">
      <c r="A47" s="59" t="s">
        <v>31</v>
      </c>
      <c r="B47" s="23">
        <v>147700000</v>
      </c>
      <c r="C47" s="6">
        <v>129920000</v>
      </c>
      <c r="D47" s="6">
        <v>0</v>
      </c>
      <c r="E47" s="6">
        <f>C47+D47</f>
        <v>129920000</v>
      </c>
      <c r="F47" s="20">
        <f>E47/B47*100%</f>
        <v>0.8796208530805687</v>
      </c>
      <c r="G47" s="62">
        <f>E47-B47</f>
        <v>-17780000</v>
      </c>
    </row>
    <row r="48" spans="1:7" ht="15.75">
      <c r="A48" s="61" t="s">
        <v>83</v>
      </c>
      <c r="B48" s="23">
        <v>12000000</v>
      </c>
      <c r="C48" s="6">
        <v>14950000</v>
      </c>
      <c r="D48" s="6">
        <v>0</v>
      </c>
      <c r="E48" s="6">
        <f>C48+D48</f>
        <v>14950000</v>
      </c>
      <c r="F48" s="20">
        <f>E48/B48*100%</f>
        <v>1.2458333333333333</v>
      </c>
      <c r="G48" s="62">
        <f>E48-B48</f>
        <v>2950000</v>
      </c>
    </row>
    <row r="49" spans="1:7" ht="15">
      <c r="A49" s="58" t="s">
        <v>32</v>
      </c>
      <c r="B49" s="5">
        <f>SUM(B47:B48)</f>
        <v>159700000</v>
      </c>
      <c r="C49" s="5">
        <f>SUM(C47:C48)</f>
        <v>144870000</v>
      </c>
      <c r="D49" s="5">
        <f>SUM(D47:D48)</f>
        <v>0</v>
      </c>
      <c r="E49" s="5">
        <f>SUM(E47:E48)</f>
        <v>144870000</v>
      </c>
      <c r="F49" s="20">
        <f>E49/B49*100%</f>
        <v>0.9071383844708829</v>
      </c>
      <c r="G49" s="62">
        <f>E49-B49</f>
        <v>-14830000</v>
      </c>
    </row>
    <row r="50" spans="1:7" ht="15">
      <c r="A50" s="59"/>
      <c r="B50" s="6"/>
      <c r="C50" s="6"/>
      <c r="D50" s="6"/>
      <c r="E50" s="6"/>
      <c r="F50" s="16"/>
      <c r="G50" s="60"/>
    </row>
    <row r="51" spans="1:7" ht="15">
      <c r="A51" s="58" t="s">
        <v>33</v>
      </c>
      <c r="B51" s="12"/>
      <c r="C51" s="12"/>
      <c r="D51" s="18"/>
      <c r="E51" s="6"/>
      <c r="F51" s="16"/>
      <c r="G51" s="60"/>
    </row>
    <row r="52" spans="1:7" ht="15">
      <c r="A52" s="59" t="s">
        <v>34</v>
      </c>
      <c r="B52" s="23">
        <v>15000000</v>
      </c>
      <c r="C52" s="6">
        <v>11130000</v>
      </c>
      <c r="D52" s="6">
        <v>6680009</v>
      </c>
      <c r="E52" s="6">
        <f>C52+D52</f>
        <v>17810009</v>
      </c>
      <c r="F52" s="16">
        <f>E52/B52*100%</f>
        <v>1.1873339333333333</v>
      </c>
      <c r="G52" s="60">
        <f>E52-B52</f>
        <v>2810009</v>
      </c>
    </row>
    <row r="53" spans="1:9" ht="15">
      <c r="A53" s="59" t="s">
        <v>35</v>
      </c>
      <c r="B53" s="23">
        <v>40000000</v>
      </c>
      <c r="C53" s="6">
        <v>42360000</v>
      </c>
      <c r="D53" s="6">
        <v>0</v>
      </c>
      <c r="E53" s="6">
        <f>C53+D53</f>
        <v>42360000</v>
      </c>
      <c r="F53" s="16">
        <f>E53/B53*100%</f>
        <v>1.059</v>
      </c>
      <c r="G53" s="60">
        <f>E53-B53</f>
        <v>2360000</v>
      </c>
      <c r="I53" s="126"/>
    </row>
    <row r="54" spans="1:9" ht="15">
      <c r="A54" s="58" t="s">
        <v>36</v>
      </c>
      <c r="B54" s="5">
        <f>SUM(B52:B53)</f>
        <v>55000000</v>
      </c>
      <c r="C54" s="5">
        <f>SUM(C52:C53)</f>
        <v>53490000</v>
      </c>
      <c r="D54" s="5">
        <f>SUM(D52:D53)</f>
        <v>6680009</v>
      </c>
      <c r="E54" s="5">
        <f>SUM(E52:E53)</f>
        <v>60170009</v>
      </c>
      <c r="F54" s="20">
        <f>E54/B54*100%</f>
        <v>1.0940001636363637</v>
      </c>
      <c r="G54" s="62">
        <f>E54-B54</f>
        <v>5170009</v>
      </c>
      <c r="I54" s="88"/>
    </row>
    <row r="55" spans="1:7" ht="15">
      <c r="A55" s="58"/>
      <c r="B55" s="5"/>
      <c r="C55" s="5">
        <v>0</v>
      </c>
      <c r="D55" s="5"/>
      <c r="E55" s="5"/>
      <c r="F55" s="16"/>
      <c r="G55" s="60"/>
    </row>
    <row r="56" spans="1:9" ht="15">
      <c r="A56" s="58" t="s">
        <v>84</v>
      </c>
      <c r="B56" s="5"/>
      <c r="C56" s="5"/>
      <c r="D56" s="5"/>
      <c r="E56" s="5"/>
      <c r="F56" s="16"/>
      <c r="G56" s="60"/>
      <c r="I56" s="126"/>
    </row>
    <row r="57" spans="1:9" ht="15.75">
      <c r="A57" s="61" t="s">
        <v>85</v>
      </c>
      <c r="B57" s="23">
        <v>8100000</v>
      </c>
      <c r="C57" s="6">
        <v>9340000</v>
      </c>
      <c r="D57" s="6">
        <v>820000</v>
      </c>
      <c r="E57" s="6">
        <f>C57+D57</f>
        <v>10160000</v>
      </c>
      <c r="F57" s="16">
        <f>E57/B57*100%</f>
        <v>1.254320987654321</v>
      </c>
      <c r="G57" s="60">
        <f>E57-B57</f>
        <v>2060000</v>
      </c>
      <c r="I57" s="88"/>
    </row>
    <row r="58" spans="1:7" ht="15.75">
      <c r="A58" s="63" t="s">
        <v>86</v>
      </c>
      <c r="B58" s="24">
        <f>SUM(B57)</f>
        <v>8100000</v>
      </c>
      <c r="C58" s="37">
        <f>SUM(C57)</f>
        <v>9340000</v>
      </c>
      <c r="D58" s="37">
        <f>SUM(D57)</f>
        <v>820000</v>
      </c>
      <c r="E58" s="37">
        <f>SUM(E57)</f>
        <v>10160000</v>
      </c>
      <c r="F58" s="20">
        <f>E58/B58*100%</f>
        <v>1.254320987654321</v>
      </c>
      <c r="G58" s="60">
        <f>E58-B58</f>
        <v>2060000</v>
      </c>
    </row>
    <row r="59" spans="1:7" ht="15">
      <c r="A59" s="59"/>
      <c r="B59" s="6"/>
      <c r="C59" s="6"/>
      <c r="D59" s="6"/>
      <c r="E59" s="6"/>
      <c r="F59" s="16"/>
      <c r="G59" s="60"/>
    </row>
    <row r="60" spans="1:9" ht="26.25">
      <c r="A60" s="64" t="s">
        <v>37</v>
      </c>
      <c r="B60" s="5">
        <f>B40+B44+B49+B54+B58</f>
        <v>1255787000</v>
      </c>
      <c r="C60" s="5">
        <f>C54+C49+C44+C40+C58</f>
        <v>844115325</v>
      </c>
      <c r="D60" s="5">
        <f>D54+D49+D44+D40+D58</f>
        <v>50873259</v>
      </c>
      <c r="E60" s="5">
        <f>E54+E49+E44+E40+E58</f>
        <v>894988584</v>
      </c>
      <c r="F60" s="20">
        <f>E60/B60*100%</f>
        <v>0.7126913911355987</v>
      </c>
      <c r="G60" s="62">
        <f>E60-B60</f>
        <v>-360798416</v>
      </c>
      <c r="I60" s="88"/>
    </row>
    <row r="61" spans="1:9" ht="15">
      <c r="A61" s="64"/>
      <c r="B61" s="5"/>
      <c r="C61" s="5"/>
      <c r="D61" s="5"/>
      <c r="E61" s="5"/>
      <c r="F61" s="20"/>
      <c r="G61" s="62"/>
      <c r="I61" s="126"/>
    </row>
    <row r="62" spans="1:7" ht="15">
      <c r="A62" s="64"/>
      <c r="B62" s="5"/>
      <c r="C62" s="5"/>
      <c r="D62" s="5"/>
      <c r="E62" s="5"/>
      <c r="F62" s="20"/>
      <c r="G62" s="62"/>
    </row>
    <row r="63" spans="1:7" ht="15">
      <c r="A63" s="58" t="s">
        <v>38</v>
      </c>
      <c r="B63" s="4"/>
      <c r="C63" s="12"/>
      <c r="D63" s="18"/>
      <c r="E63" s="6"/>
      <c r="F63" s="16"/>
      <c r="G63" s="60"/>
    </row>
    <row r="64" spans="1:7" ht="15">
      <c r="A64" s="58" t="s">
        <v>39</v>
      </c>
      <c r="B64" s="4"/>
      <c r="C64" s="12"/>
      <c r="D64" s="18"/>
      <c r="E64" s="6"/>
      <c r="F64" s="16"/>
      <c r="G64" s="60"/>
    </row>
    <row r="65" spans="1:7" ht="15">
      <c r="A65" s="59" t="s">
        <v>40</v>
      </c>
      <c r="B65" s="23">
        <v>650040000</v>
      </c>
      <c r="C65" s="6">
        <v>463575536.08</v>
      </c>
      <c r="D65" s="6">
        <f>1065931+61447718</f>
        <v>62513649</v>
      </c>
      <c r="E65" s="6">
        <f>C65+D65</f>
        <v>526089185.08</v>
      </c>
      <c r="F65" s="16">
        <f aca="true" t="shared" si="3" ref="F65:F70">E65/B65*100%</f>
        <v>0.8093181728509015</v>
      </c>
      <c r="G65" s="60">
        <f aca="true" t="shared" si="4" ref="G65:G70">E65-B65</f>
        <v>-123950814.92000002</v>
      </c>
    </row>
    <row r="66" spans="1:7" ht="15">
      <c r="A66" s="59" t="s">
        <v>41</v>
      </c>
      <c r="B66" s="23">
        <v>192000000</v>
      </c>
      <c r="C66" s="6">
        <v>178379000</v>
      </c>
      <c r="D66" s="6">
        <v>0</v>
      </c>
      <c r="E66" s="6">
        <f>C66+D66</f>
        <v>178379000</v>
      </c>
      <c r="F66" s="16">
        <f t="shared" si="3"/>
        <v>0.9290572916666666</v>
      </c>
      <c r="G66" s="60">
        <f t="shared" si="4"/>
        <v>-13621000</v>
      </c>
    </row>
    <row r="67" spans="1:7" ht="15">
      <c r="A67" s="59" t="s">
        <v>42</v>
      </c>
      <c r="B67" s="23">
        <v>589200000</v>
      </c>
      <c r="C67" s="6">
        <v>490346000</v>
      </c>
      <c r="D67" s="6">
        <v>10780000</v>
      </c>
      <c r="E67" s="6">
        <f>C67+D67</f>
        <v>501126000</v>
      </c>
      <c r="F67" s="16">
        <f t="shared" si="3"/>
        <v>0.8505193482688391</v>
      </c>
      <c r="G67" s="60">
        <f t="shared" si="4"/>
        <v>-88074000</v>
      </c>
    </row>
    <row r="68" spans="1:7" ht="15">
      <c r="A68" s="59" t="s">
        <v>43</v>
      </c>
      <c r="B68" s="23">
        <v>20400000</v>
      </c>
      <c r="C68" s="6">
        <v>15994000</v>
      </c>
      <c r="D68" s="6">
        <v>485000</v>
      </c>
      <c r="E68" s="6">
        <f>C68+D68</f>
        <v>16479000</v>
      </c>
      <c r="F68" s="16">
        <f t="shared" si="3"/>
        <v>0.8077941176470588</v>
      </c>
      <c r="G68" s="60">
        <f t="shared" si="4"/>
        <v>-3921000</v>
      </c>
    </row>
    <row r="69" spans="1:7" ht="15.75">
      <c r="A69" s="61" t="s">
        <v>87</v>
      </c>
      <c r="B69" s="23">
        <v>10800000</v>
      </c>
      <c r="C69" s="6">
        <v>11150000</v>
      </c>
      <c r="D69" s="6">
        <v>0</v>
      </c>
      <c r="E69" s="6">
        <f>C69+D69</f>
        <v>11150000</v>
      </c>
      <c r="F69" s="16">
        <f t="shared" si="3"/>
        <v>1.0324074074074074</v>
      </c>
      <c r="G69" s="60">
        <f t="shared" si="4"/>
        <v>350000</v>
      </c>
    </row>
    <row r="70" spans="1:7" ht="15">
      <c r="A70" s="58" t="s">
        <v>93</v>
      </c>
      <c r="B70" s="5">
        <f>SUM(B65:B69)</f>
        <v>1462440000</v>
      </c>
      <c r="C70" s="5">
        <f>SUM(C65:C69)</f>
        <v>1159444536.08</v>
      </c>
      <c r="D70" s="5">
        <f>SUM(D65:D69)</f>
        <v>73778649</v>
      </c>
      <c r="E70" s="5">
        <f>SUM(E65:E69)</f>
        <v>1233223185.08</v>
      </c>
      <c r="F70" s="20">
        <f t="shared" si="3"/>
        <v>0.8432641237110582</v>
      </c>
      <c r="G70" s="62">
        <f t="shared" si="4"/>
        <v>-229216814.92000008</v>
      </c>
    </row>
    <row r="71" spans="1:7" ht="15">
      <c r="A71" s="58"/>
      <c r="B71" s="5"/>
      <c r="C71" s="5"/>
      <c r="D71" s="5"/>
      <c r="E71" s="5"/>
      <c r="F71" s="20"/>
      <c r="G71" s="62"/>
    </row>
    <row r="72" spans="1:7" ht="15.75" thickBot="1">
      <c r="A72" s="81"/>
      <c r="B72" s="82"/>
      <c r="C72" s="82"/>
      <c r="D72" s="82"/>
      <c r="E72" s="82"/>
      <c r="F72" s="83"/>
      <c r="G72" s="84"/>
    </row>
    <row r="73" spans="1:7" ht="15">
      <c r="A73" s="67" t="s">
        <v>44</v>
      </c>
      <c r="B73" s="80"/>
      <c r="C73" s="44"/>
      <c r="D73" s="44"/>
      <c r="E73" s="48"/>
      <c r="F73" s="47"/>
      <c r="G73" s="68"/>
    </row>
    <row r="74" spans="1:7" ht="15">
      <c r="A74" s="58" t="s">
        <v>45</v>
      </c>
      <c r="B74" s="4"/>
      <c r="C74" s="12"/>
      <c r="D74" s="18"/>
      <c r="E74" s="6"/>
      <c r="F74" s="16"/>
      <c r="G74" s="60"/>
    </row>
    <row r="75" spans="1:7" ht="15">
      <c r="A75" s="59" t="s">
        <v>46</v>
      </c>
      <c r="B75" s="23">
        <v>462215165</v>
      </c>
      <c r="C75" s="6">
        <v>500000000</v>
      </c>
      <c r="D75" s="6">
        <v>0</v>
      </c>
      <c r="E75" s="6">
        <f>C75+D75</f>
        <v>500000000</v>
      </c>
      <c r="F75" s="16">
        <f>E75/B75*100%</f>
        <v>1.0817472853795267</v>
      </c>
      <c r="G75" s="60">
        <f>E75-B75</f>
        <v>37784835</v>
      </c>
    </row>
    <row r="76" spans="1:7" ht="15">
      <c r="A76" s="59" t="s">
        <v>47</v>
      </c>
      <c r="B76" s="23">
        <v>384000000</v>
      </c>
      <c r="C76" s="6">
        <v>0</v>
      </c>
      <c r="D76" s="6">
        <v>0</v>
      </c>
      <c r="E76" s="6">
        <f>C76+D76</f>
        <v>0</v>
      </c>
      <c r="F76" s="16">
        <f>E76/B76*100%</f>
        <v>0</v>
      </c>
      <c r="G76" s="60">
        <f>E76-B76</f>
        <v>-384000000</v>
      </c>
    </row>
    <row r="77" spans="1:7" ht="15">
      <c r="A77" s="58" t="s">
        <v>48</v>
      </c>
      <c r="B77" s="5">
        <f>SUM(B75:B76)</f>
        <v>846215165</v>
      </c>
      <c r="C77" s="5">
        <f>SUM(C75:C76)</f>
        <v>500000000</v>
      </c>
      <c r="D77" s="5">
        <f>SUM(D75:D76)</f>
        <v>0</v>
      </c>
      <c r="E77" s="5">
        <f>SUM(E75:E76)</f>
        <v>500000000</v>
      </c>
      <c r="F77" s="20">
        <f>E77/B77*100%</f>
        <v>0.5908662721732244</v>
      </c>
      <c r="G77" s="62">
        <f>E77-B77</f>
        <v>-346215165</v>
      </c>
    </row>
    <row r="78" spans="1:7" ht="15">
      <c r="A78" s="58"/>
      <c r="B78" s="5"/>
      <c r="C78" s="5"/>
      <c r="D78" s="5"/>
      <c r="E78" s="5"/>
      <c r="F78" s="20"/>
      <c r="G78" s="62"/>
    </row>
    <row r="79" spans="1:7" ht="15">
      <c r="A79" s="58" t="s">
        <v>49</v>
      </c>
      <c r="B79" s="6"/>
      <c r="C79" s="6"/>
      <c r="D79" s="6"/>
      <c r="E79" s="6"/>
      <c r="F79" s="16"/>
      <c r="G79" s="60"/>
    </row>
    <row r="80" spans="1:9" ht="15">
      <c r="A80" s="59" t="s">
        <v>50</v>
      </c>
      <c r="B80" s="7">
        <v>2172844000</v>
      </c>
      <c r="C80" s="30">
        <v>725055845.75</v>
      </c>
      <c r="D80" s="30">
        <f>75494000+102486890</f>
        <v>177980890</v>
      </c>
      <c r="E80" s="31">
        <f>C80+D80</f>
        <v>903036735.75</v>
      </c>
      <c r="F80" s="16">
        <f>E80/B80*100%</f>
        <v>0.4156012745277618</v>
      </c>
      <c r="G80" s="60">
        <f>E80-B80</f>
        <v>-1269807264.25</v>
      </c>
      <c r="I80" s="88"/>
    </row>
    <row r="81" spans="1:7" ht="15">
      <c r="A81" s="64" t="s">
        <v>94</v>
      </c>
      <c r="B81" s="25">
        <f>B80</f>
        <v>2172844000</v>
      </c>
      <c r="C81" s="25">
        <f>C80</f>
        <v>725055845.75</v>
      </c>
      <c r="D81" s="118">
        <f>D80</f>
        <v>177980890</v>
      </c>
      <c r="E81" s="25">
        <f>E80</f>
        <v>903036735.75</v>
      </c>
      <c r="F81" s="20">
        <f>E81/B81*100%</f>
        <v>0.4156012745277618</v>
      </c>
      <c r="G81" s="62">
        <f>E81-B81</f>
        <v>-1269807264.25</v>
      </c>
    </row>
    <row r="82" spans="1:7" ht="15">
      <c r="A82" s="64"/>
      <c r="B82" s="26"/>
      <c r="C82" s="29"/>
      <c r="D82" s="38"/>
      <c r="E82" s="38"/>
      <c r="F82" s="20"/>
      <c r="G82" s="62"/>
    </row>
    <row r="83" spans="1:7" ht="26.25">
      <c r="A83" s="64" t="s">
        <v>51</v>
      </c>
      <c r="B83" s="5">
        <f>B81+B77</f>
        <v>3019059165</v>
      </c>
      <c r="C83" s="32">
        <f>C81+C77</f>
        <v>1225055845.75</v>
      </c>
      <c r="D83" s="32">
        <f>D81+D77</f>
        <v>177980890</v>
      </c>
      <c r="E83" s="32">
        <f>E81+E77</f>
        <v>1403036735.75</v>
      </c>
      <c r="F83" s="20">
        <f>E83/B83*100%</f>
        <v>0.46472647903539843</v>
      </c>
      <c r="G83" s="62">
        <f>E83-B83</f>
        <v>-1616022429.25</v>
      </c>
    </row>
    <row r="84" spans="1:7" ht="15">
      <c r="A84" s="58"/>
      <c r="B84" s="5"/>
      <c r="C84" s="32"/>
      <c r="D84" s="32"/>
      <c r="E84" s="31"/>
      <c r="F84" s="20"/>
      <c r="G84" s="62"/>
    </row>
    <row r="85" spans="1:7" ht="15">
      <c r="A85" s="58" t="s">
        <v>52</v>
      </c>
      <c r="B85" s="5">
        <f>B70+B77+B81</f>
        <v>4481499165</v>
      </c>
      <c r="C85" s="32">
        <f>C83+C70</f>
        <v>2384500381.83</v>
      </c>
      <c r="D85" s="32">
        <f>D83+D70</f>
        <v>251759539</v>
      </c>
      <c r="E85" s="32">
        <f>E83+E70</f>
        <v>2636259920.83</v>
      </c>
      <c r="F85" s="20">
        <f>E85/B85*100%</f>
        <v>0.5882540247734265</v>
      </c>
      <c r="G85" s="62">
        <f>E85-B85</f>
        <v>-1845239244.17</v>
      </c>
    </row>
    <row r="86" spans="1:7" ht="15">
      <c r="A86" s="58"/>
      <c r="B86" s="5"/>
      <c r="C86" s="32"/>
      <c r="D86" s="32"/>
      <c r="E86" s="31"/>
      <c r="F86" s="16"/>
      <c r="G86" s="60"/>
    </row>
    <row r="87" spans="1:9" ht="15">
      <c r="A87" s="58" t="s">
        <v>53</v>
      </c>
      <c r="B87" s="5">
        <f>B85+B60+B31</f>
        <v>11703629000</v>
      </c>
      <c r="C87" s="32">
        <f>C85+C60+C31</f>
        <v>7285515230.68</v>
      </c>
      <c r="D87" s="32">
        <f>D85+D60+D31</f>
        <v>765020171.1</v>
      </c>
      <c r="E87" s="32">
        <f>E85+E60+E31</f>
        <v>8050535401.780001</v>
      </c>
      <c r="F87" s="20">
        <f>E87/B87*100%</f>
        <v>0.6878665926423335</v>
      </c>
      <c r="G87" s="62">
        <f>E87-B87</f>
        <v>-3653093598.2199993</v>
      </c>
      <c r="I87" s="127"/>
    </row>
    <row r="88" spans="1:7" ht="15">
      <c r="A88" s="1"/>
      <c r="B88" s="5"/>
      <c r="C88" s="32"/>
      <c r="D88" s="32"/>
      <c r="E88" s="32"/>
      <c r="F88" s="20"/>
      <c r="G88" s="5"/>
    </row>
    <row r="89" spans="1:9" ht="15">
      <c r="A89" s="67" t="s">
        <v>54</v>
      </c>
      <c r="B89" s="78"/>
      <c r="C89" s="45"/>
      <c r="D89" s="45"/>
      <c r="E89" s="79"/>
      <c r="F89" s="47"/>
      <c r="G89" s="68"/>
      <c r="I89" s="126"/>
    </row>
    <row r="90" spans="1:9" ht="15">
      <c r="A90" s="58" t="s">
        <v>55</v>
      </c>
      <c r="B90" s="4"/>
      <c r="C90" s="123"/>
      <c r="D90" s="33"/>
      <c r="E90" s="32"/>
      <c r="F90" s="16"/>
      <c r="G90" s="60"/>
      <c r="I90" s="126"/>
    </row>
    <row r="91" spans="1:9" ht="15">
      <c r="A91" s="58" t="s">
        <v>56</v>
      </c>
      <c r="B91" s="12"/>
      <c r="C91" s="39"/>
      <c r="D91" s="39"/>
      <c r="E91" s="32"/>
      <c r="F91" s="16"/>
      <c r="G91" s="60"/>
      <c r="I91" s="127"/>
    </row>
    <row r="92" spans="1:9" ht="15">
      <c r="A92" s="59" t="s">
        <v>80</v>
      </c>
      <c r="B92" s="18">
        <f>670523000+42088000</f>
        <v>712611000</v>
      </c>
      <c r="C92" s="40">
        <v>641956000</v>
      </c>
      <c r="D92" s="40">
        <v>0</v>
      </c>
      <c r="E92" s="40">
        <f>C92+D92</f>
        <v>641956000</v>
      </c>
      <c r="F92" s="16">
        <f>E92/B92*100%</f>
        <v>0.9008505341623971</v>
      </c>
      <c r="G92" s="60">
        <f>E92-B92</f>
        <v>-70655000</v>
      </c>
      <c r="I92" s="88"/>
    </row>
    <row r="93" spans="1:9" ht="15">
      <c r="A93" s="59" t="s">
        <v>57</v>
      </c>
      <c r="B93" s="6">
        <v>333315000</v>
      </c>
      <c r="C93" s="40">
        <v>129477000</v>
      </c>
      <c r="D93" s="40">
        <v>0</v>
      </c>
      <c r="E93" s="40">
        <f aca="true" t="shared" si="5" ref="E93:E98">C93+D93</f>
        <v>129477000</v>
      </c>
      <c r="F93" s="16">
        <f aca="true" t="shared" si="6" ref="F93:F99">E93/B93*100%</f>
        <v>0.3884523648800684</v>
      </c>
      <c r="G93" s="60">
        <f aca="true" t="shared" si="7" ref="G93:G99">E93-B93</f>
        <v>-203838000</v>
      </c>
      <c r="I93" s="121"/>
    </row>
    <row r="94" spans="1:9" ht="15">
      <c r="A94" s="59" t="s">
        <v>58</v>
      </c>
      <c r="B94" s="17">
        <v>1099360000</v>
      </c>
      <c r="C94" s="40">
        <v>310673000</v>
      </c>
      <c r="D94" s="40">
        <v>0</v>
      </c>
      <c r="E94" s="40">
        <f t="shared" si="5"/>
        <v>310673000</v>
      </c>
      <c r="F94" s="16">
        <f t="shared" si="6"/>
        <v>0.2825944185708048</v>
      </c>
      <c r="G94" s="60">
        <f t="shared" si="7"/>
        <v>-788687000</v>
      </c>
      <c r="I94" s="87"/>
    </row>
    <row r="95" spans="1:9" ht="15">
      <c r="A95" s="59" t="s">
        <v>59</v>
      </c>
      <c r="B95" s="17">
        <v>1647264000</v>
      </c>
      <c r="C95" s="40">
        <v>1229651000</v>
      </c>
      <c r="D95" s="40">
        <v>0</v>
      </c>
      <c r="E95" s="40">
        <f t="shared" si="5"/>
        <v>1229651000</v>
      </c>
      <c r="F95" s="16">
        <f t="shared" si="6"/>
        <v>0.7464808312450221</v>
      </c>
      <c r="G95" s="60">
        <f t="shared" si="7"/>
        <v>-417613000</v>
      </c>
      <c r="I95" s="87"/>
    </row>
    <row r="96" spans="1:9" ht="15">
      <c r="A96" s="59" t="s">
        <v>60</v>
      </c>
      <c r="B96" s="17">
        <f>24982000+5421000</f>
        <v>30403000</v>
      </c>
      <c r="C96" s="40">
        <v>2712000</v>
      </c>
      <c r="D96" s="40">
        <v>0</v>
      </c>
      <c r="E96" s="40">
        <f t="shared" si="5"/>
        <v>2712000</v>
      </c>
      <c r="F96" s="16">
        <f t="shared" si="6"/>
        <v>0.08920172351412689</v>
      </c>
      <c r="G96" s="60">
        <f t="shared" si="7"/>
        <v>-27691000</v>
      </c>
      <c r="I96" s="126"/>
    </row>
    <row r="97" spans="1:7" ht="15">
      <c r="A97" s="59" t="s">
        <v>61</v>
      </c>
      <c r="B97" s="17">
        <v>27938000</v>
      </c>
      <c r="C97" s="40">
        <v>4656000</v>
      </c>
      <c r="D97" s="40">
        <v>0</v>
      </c>
      <c r="E97" s="40">
        <f t="shared" si="5"/>
        <v>4656000</v>
      </c>
      <c r="F97" s="16">
        <f t="shared" si="6"/>
        <v>0.16665473548571838</v>
      </c>
      <c r="G97" s="60">
        <f t="shared" si="7"/>
        <v>-23282000</v>
      </c>
    </row>
    <row r="98" spans="1:7" ht="15">
      <c r="A98" s="59" t="s">
        <v>62</v>
      </c>
      <c r="B98" s="17">
        <v>17132000</v>
      </c>
      <c r="C98" s="40">
        <v>2382000</v>
      </c>
      <c r="D98" s="40">
        <v>0</v>
      </c>
      <c r="E98" s="40">
        <f t="shared" si="5"/>
        <v>2382000</v>
      </c>
      <c r="F98" s="16">
        <f t="shared" si="6"/>
        <v>0.13903805743637637</v>
      </c>
      <c r="G98" s="60">
        <f t="shared" si="7"/>
        <v>-14750000</v>
      </c>
    </row>
    <row r="99" spans="1:9" ht="15">
      <c r="A99" s="65" t="s">
        <v>63</v>
      </c>
      <c r="B99" s="41">
        <f>SUM(B92:B98)</f>
        <v>3868023000</v>
      </c>
      <c r="C99" s="42">
        <f>SUM(C92:C98)</f>
        <v>2321507000</v>
      </c>
      <c r="D99" s="42">
        <f>SUM(D92:D98)</f>
        <v>0</v>
      </c>
      <c r="E99" s="42">
        <f>SUM(E92:E98)</f>
        <v>2321507000</v>
      </c>
      <c r="F99" s="43">
        <f t="shared" si="6"/>
        <v>0.600179212998475</v>
      </c>
      <c r="G99" s="66">
        <f t="shared" si="7"/>
        <v>-1546516000</v>
      </c>
      <c r="I99" s="126"/>
    </row>
    <row r="100" spans="1:9" ht="15">
      <c r="A100" s="58"/>
      <c r="B100" s="5"/>
      <c r="C100" s="32"/>
      <c r="D100" s="32"/>
      <c r="E100" s="32"/>
      <c r="F100" s="20"/>
      <c r="G100" s="62"/>
      <c r="I100" s="88"/>
    </row>
    <row r="101" spans="1:7" ht="15">
      <c r="A101" s="67" t="s">
        <v>64</v>
      </c>
      <c r="B101" s="44"/>
      <c r="C101" s="45"/>
      <c r="D101" s="45"/>
      <c r="E101" s="46"/>
      <c r="F101" s="47"/>
      <c r="G101" s="68"/>
    </row>
    <row r="102" spans="1:9" ht="15">
      <c r="A102" s="59" t="s">
        <v>65</v>
      </c>
      <c r="B102" s="6">
        <v>38649464000</v>
      </c>
      <c r="C102" s="85">
        <v>23221060700.866665</v>
      </c>
      <c r="D102" s="116">
        <v>3180267456</v>
      </c>
      <c r="E102" s="31">
        <f>C102+D102</f>
        <v>26401328156.866665</v>
      </c>
      <c r="F102" s="16">
        <f>E102/B102*100%</f>
        <v>0.6830968770192173</v>
      </c>
      <c r="G102" s="60">
        <f>E102-B102</f>
        <v>-12248135843.133335</v>
      </c>
      <c r="I102" s="121"/>
    </row>
    <row r="103" spans="1:7" ht="15">
      <c r="A103" s="58" t="s">
        <v>66</v>
      </c>
      <c r="B103" s="5">
        <f>SUM(B102)</f>
        <v>38649464000</v>
      </c>
      <c r="C103" s="32">
        <f>SUM(C102)</f>
        <v>23221060700.866665</v>
      </c>
      <c r="D103" s="32">
        <f>SUM(D102)</f>
        <v>3180267456</v>
      </c>
      <c r="E103" s="32">
        <f>SUM(E102)</f>
        <v>26401328156.866665</v>
      </c>
      <c r="F103" s="20">
        <f>E103/B103*100%</f>
        <v>0.6830968770192173</v>
      </c>
      <c r="G103" s="62">
        <f>E103-B103</f>
        <v>-12248135843.133335</v>
      </c>
    </row>
    <row r="104" spans="1:7" ht="15">
      <c r="A104" s="59"/>
      <c r="B104" s="6"/>
      <c r="C104" s="31"/>
      <c r="D104" s="31"/>
      <c r="E104" s="31"/>
      <c r="F104" s="16"/>
      <c r="G104" s="60"/>
    </row>
    <row r="105" spans="1:7" ht="15">
      <c r="A105" s="58" t="s">
        <v>67</v>
      </c>
      <c r="B105" s="5">
        <f>B103+B99</f>
        <v>42517487000</v>
      </c>
      <c r="C105" s="32">
        <f>C103+C99</f>
        <v>25542567700.866665</v>
      </c>
      <c r="D105" s="32">
        <f>D103+D99</f>
        <v>3180267456</v>
      </c>
      <c r="E105" s="32">
        <f>E103+E99</f>
        <v>28722835156.866665</v>
      </c>
      <c r="F105" s="20">
        <f>E105/B105*100%</f>
        <v>0.6755534530266727</v>
      </c>
      <c r="G105" s="62">
        <f>E105-B105</f>
        <v>-13794651843.133335</v>
      </c>
    </row>
    <row r="106" spans="1:7" ht="15">
      <c r="A106" s="56"/>
      <c r="B106" s="114"/>
      <c r="C106" s="99"/>
      <c r="D106" s="69"/>
      <c r="E106" s="100"/>
      <c r="F106" s="101"/>
      <c r="G106" s="102"/>
    </row>
    <row r="107" spans="1:7" ht="15">
      <c r="A107" s="98"/>
      <c r="B107" s="103"/>
      <c r="C107" s="104"/>
      <c r="D107" s="105"/>
      <c r="E107" s="106"/>
      <c r="F107" s="97"/>
      <c r="G107" s="6"/>
    </row>
    <row r="108" spans="1:7" ht="15">
      <c r="A108" s="58" t="s">
        <v>68</v>
      </c>
      <c r="B108" s="115"/>
      <c r="C108" s="45"/>
      <c r="D108" s="45"/>
      <c r="E108" s="46"/>
      <c r="F108" s="47"/>
      <c r="G108" s="68"/>
    </row>
    <row r="109" spans="1:7" ht="15">
      <c r="A109" s="59" t="s">
        <v>69</v>
      </c>
      <c r="B109" s="6">
        <v>10415000</v>
      </c>
      <c r="C109" s="31">
        <v>0</v>
      </c>
      <c r="D109" s="31">
        <v>0</v>
      </c>
      <c r="E109" s="31">
        <v>0</v>
      </c>
      <c r="F109" s="16">
        <f aca="true" t="shared" si="8" ref="F109:F120">E109/B109*100%</f>
        <v>0</v>
      </c>
      <c r="G109" s="60">
        <f aca="true" t="shared" si="9" ref="G109:G120">E109-B109</f>
        <v>-10415000</v>
      </c>
    </row>
    <row r="110" spans="1:7" ht="15">
      <c r="A110" s="59" t="s">
        <v>70</v>
      </c>
      <c r="B110" s="6">
        <v>434189000</v>
      </c>
      <c r="C110" s="31">
        <v>218745500</v>
      </c>
      <c r="D110" s="31">
        <v>0</v>
      </c>
      <c r="E110" s="31">
        <f aca="true" t="shared" si="10" ref="E110:E118">C110+D110</f>
        <v>218745500</v>
      </c>
      <c r="F110" s="16">
        <f t="shared" si="8"/>
        <v>0.5038024915417019</v>
      </c>
      <c r="G110" s="60">
        <f t="shared" si="9"/>
        <v>-215443500</v>
      </c>
    </row>
    <row r="111" spans="1:7" ht="15">
      <c r="A111" s="59" t="s">
        <v>71</v>
      </c>
      <c r="B111" s="6">
        <v>18838000</v>
      </c>
      <c r="C111" s="31">
        <v>0</v>
      </c>
      <c r="D111" s="31">
        <v>0</v>
      </c>
      <c r="E111" s="31">
        <f t="shared" si="10"/>
        <v>0</v>
      </c>
      <c r="F111" s="16">
        <f t="shared" si="8"/>
        <v>0</v>
      </c>
      <c r="G111" s="60">
        <f t="shared" si="9"/>
        <v>-18838000</v>
      </c>
    </row>
    <row r="112" spans="1:7" ht="15">
      <c r="A112" s="59" t="s">
        <v>78</v>
      </c>
      <c r="B112" s="6">
        <v>1646097000</v>
      </c>
      <c r="C112" s="31">
        <v>0</v>
      </c>
      <c r="D112" s="31">
        <v>0</v>
      </c>
      <c r="E112" s="31">
        <f t="shared" si="10"/>
        <v>0</v>
      </c>
      <c r="F112" s="16">
        <f t="shared" si="8"/>
        <v>0</v>
      </c>
      <c r="G112" s="60">
        <f t="shared" si="9"/>
        <v>-1646097000</v>
      </c>
    </row>
    <row r="113" spans="1:7" ht="15">
      <c r="A113" s="59" t="s">
        <v>72</v>
      </c>
      <c r="B113" s="6">
        <v>1151698000</v>
      </c>
      <c r="C113" s="31">
        <v>258091866</v>
      </c>
      <c r="D113" s="31">
        <v>0</v>
      </c>
      <c r="E113" s="31">
        <f t="shared" si="10"/>
        <v>258091866</v>
      </c>
      <c r="F113" s="16">
        <f t="shared" si="8"/>
        <v>0.22409682573035639</v>
      </c>
      <c r="G113" s="60">
        <f t="shared" si="9"/>
        <v>-893606134</v>
      </c>
    </row>
    <row r="114" spans="1:7" ht="15">
      <c r="A114" s="59" t="s">
        <v>133</v>
      </c>
      <c r="B114" s="6">
        <v>0</v>
      </c>
      <c r="C114" s="31">
        <v>0</v>
      </c>
      <c r="D114" s="31">
        <v>21044000</v>
      </c>
      <c r="E114" s="31">
        <f t="shared" si="10"/>
        <v>21044000</v>
      </c>
      <c r="F114" s="16">
        <v>0</v>
      </c>
      <c r="G114" s="60">
        <f t="shared" si="9"/>
        <v>21044000</v>
      </c>
    </row>
    <row r="115" spans="1:7" ht="15">
      <c r="A115" s="59" t="s">
        <v>73</v>
      </c>
      <c r="B115" s="6">
        <v>85819000</v>
      </c>
      <c r="C115" s="31">
        <v>150731817.32999998</v>
      </c>
      <c r="D115" s="31">
        <v>0</v>
      </c>
      <c r="E115" s="31">
        <f t="shared" si="10"/>
        <v>150731817.32999998</v>
      </c>
      <c r="F115" s="16">
        <f t="shared" si="8"/>
        <v>1.7563921431151608</v>
      </c>
      <c r="G115" s="60">
        <f t="shared" si="9"/>
        <v>64912817.32999998</v>
      </c>
    </row>
    <row r="116" spans="1:7" ht="15">
      <c r="A116" s="59" t="s">
        <v>104</v>
      </c>
      <c r="B116" s="6">
        <v>0</v>
      </c>
      <c r="C116" s="31">
        <v>1623028500</v>
      </c>
      <c r="D116" s="31">
        <v>391212000</v>
      </c>
      <c r="E116" s="31">
        <f t="shared" si="10"/>
        <v>2014240500</v>
      </c>
      <c r="F116" s="16">
        <v>0</v>
      </c>
      <c r="G116" s="60">
        <f t="shared" si="9"/>
        <v>2014240500</v>
      </c>
    </row>
    <row r="117" spans="1:9" ht="15">
      <c r="A117" s="59" t="s">
        <v>110</v>
      </c>
      <c r="B117" s="6">
        <v>0</v>
      </c>
      <c r="C117" s="31">
        <v>435058010.12</v>
      </c>
      <c r="D117" s="31">
        <f>127262937.47+19987261.71</f>
        <v>147250199.18</v>
      </c>
      <c r="E117" s="31">
        <f>C117+D117</f>
        <v>582308209.3</v>
      </c>
      <c r="F117" s="16">
        <v>0</v>
      </c>
      <c r="G117" s="60">
        <f>E117-B117</f>
        <v>582308209.3</v>
      </c>
      <c r="I117" s="128"/>
    </row>
    <row r="118" spans="1:7" ht="15">
      <c r="A118" s="59" t="s">
        <v>74</v>
      </c>
      <c r="B118" s="6">
        <v>32713000</v>
      </c>
      <c r="C118" s="31">
        <v>115625421</v>
      </c>
      <c r="D118" s="31">
        <v>0</v>
      </c>
      <c r="E118" s="31">
        <f t="shared" si="10"/>
        <v>115625421</v>
      </c>
      <c r="F118" s="16">
        <f t="shared" si="8"/>
        <v>3.53454042735304</v>
      </c>
      <c r="G118" s="60">
        <f t="shared" si="9"/>
        <v>82912421</v>
      </c>
    </row>
    <row r="119" spans="1:9" ht="20.25" customHeight="1">
      <c r="A119" s="58" t="s">
        <v>75</v>
      </c>
      <c r="B119" s="5">
        <f>SUM(B109:B118)</f>
        <v>3379769000</v>
      </c>
      <c r="C119" s="32">
        <f>SUM(C109:C118)</f>
        <v>2801281114.45</v>
      </c>
      <c r="D119" s="32">
        <f>SUM(D109:D118)</f>
        <v>559506199.1800001</v>
      </c>
      <c r="E119" s="32">
        <f>SUM(E109:E118)</f>
        <v>3360787313.63</v>
      </c>
      <c r="F119" s="20">
        <f t="shared" si="8"/>
        <v>0.9943837326249221</v>
      </c>
      <c r="G119" s="60">
        <f t="shared" si="9"/>
        <v>-18981686.369999886</v>
      </c>
      <c r="I119" s="88"/>
    </row>
    <row r="120" spans="1:7" ht="21" customHeight="1">
      <c r="A120" s="65" t="s">
        <v>76</v>
      </c>
      <c r="B120" s="41">
        <f>B119+B105</f>
        <v>45897256000</v>
      </c>
      <c r="C120" s="42">
        <f>C119+C105</f>
        <v>28343848815.316666</v>
      </c>
      <c r="D120" s="42">
        <f>D119+D105</f>
        <v>3739773655.1800003</v>
      </c>
      <c r="E120" s="42">
        <f>E119+E105</f>
        <v>32083622470.496666</v>
      </c>
      <c r="F120" s="43">
        <f t="shared" si="8"/>
        <v>0.6990313858958511</v>
      </c>
      <c r="G120" s="66">
        <f t="shared" si="9"/>
        <v>-13813633529.503334</v>
      </c>
    </row>
    <row r="121" spans="1:7" ht="21" customHeight="1">
      <c r="A121" s="1"/>
      <c r="B121" s="5"/>
      <c r="C121" s="32"/>
      <c r="D121" s="32"/>
      <c r="E121" s="32"/>
      <c r="F121" s="20"/>
      <c r="G121" s="5"/>
    </row>
    <row r="122" spans="1:7" ht="20.25" customHeight="1">
      <c r="A122" s="93" t="s">
        <v>96</v>
      </c>
      <c r="B122" s="94"/>
      <c r="C122" s="92"/>
      <c r="D122" s="92"/>
      <c r="E122" s="92"/>
      <c r="F122" s="95"/>
      <c r="G122" s="96"/>
    </row>
    <row r="123" spans="1:7" ht="20.25" customHeight="1">
      <c r="A123" s="59" t="s">
        <v>124</v>
      </c>
      <c r="B123" s="6">
        <v>0</v>
      </c>
      <c r="C123" s="31">
        <v>12233921.7</v>
      </c>
      <c r="D123" s="31">
        <v>0</v>
      </c>
      <c r="E123" s="31">
        <f>C123+D123</f>
        <v>12233921.7</v>
      </c>
      <c r="F123" s="16">
        <v>1</v>
      </c>
      <c r="G123" s="60">
        <f>E123-B123</f>
        <v>12233921.7</v>
      </c>
    </row>
    <row r="124" spans="1:7" ht="17.25" customHeight="1">
      <c r="A124" s="59" t="s">
        <v>92</v>
      </c>
      <c r="B124" s="6">
        <v>0</v>
      </c>
      <c r="C124" s="31">
        <v>0</v>
      </c>
      <c r="D124" s="31">
        <v>0</v>
      </c>
      <c r="E124" s="31">
        <f>C124+D124</f>
        <v>0</v>
      </c>
      <c r="F124" s="16">
        <v>1</v>
      </c>
      <c r="G124" s="60">
        <f>E124-B124</f>
        <v>0</v>
      </c>
    </row>
    <row r="125" spans="1:7" ht="21" customHeight="1" thickBot="1">
      <c r="A125" s="93" t="s">
        <v>97</v>
      </c>
      <c r="B125" s="94">
        <f>SUM(B123:B124)</f>
        <v>0</v>
      </c>
      <c r="C125" s="94">
        <f>SUM(C123:C124)</f>
        <v>12233921.7</v>
      </c>
      <c r="D125" s="94">
        <f>SUM(D123:D124)</f>
        <v>0</v>
      </c>
      <c r="E125" s="42">
        <f>C125+D125</f>
        <v>12233921.7</v>
      </c>
      <c r="F125" s="43">
        <v>1</v>
      </c>
      <c r="G125" s="66">
        <f>E125-B125</f>
        <v>12233921.7</v>
      </c>
    </row>
    <row r="126" spans="1:7" ht="21" customHeight="1" thickBot="1">
      <c r="A126" s="49" t="s">
        <v>98</v>
      </c>
      <c r="B126" s="50">
        <f>B119+B125</f>
        <v>3379769000</v>
      </c>
      <c r="C126" s="50">
        <f>C119+C125</f>
        <v>2813515036.1499996</v>
      </c>
      <c r="D126" s="50">
        <f>D119+D125</f>
        <v>559506199.1800001</v>
      </c>
      <c r="E126" s="50">
        <f>E119+E125</f>
        <v>3373021235.33</v>
      </c>
      <c r="F126" s="51">
        <f>E126/B126*100%</f>
        <v>0.9980034834717993</v>
      </c>
      <c r="G126" s="52">
        <f>E126-B126</f>
        <v>-6747764.670000076</v>
      </c>
    </row>
    <row r="127" spans="1:7" ht="28.5" customHeight="1" thickBot="1">
      <c r="A127" s="49" t="s">
        <v>77</v>
      </c>
      <c r="B127" s="50">
        <f>B120+B87+B125</f>
        <v>57600885000</v>
      </c>
      <c r="C127" s="50">
        <f>C120+C87+C126</f>
        <v>38442879082.14667</v>
      </c>
      <c r="D127" s="50">
        <f>D120+D87+D126</f>
        <v>5064300025.460001</v>
      </c>
      <c r="E127" s="50">
        <f>E120+E87+E126</f>
        <v>43507179107.60667</v>
      </c>
      <c r="F127" s="51">
        <f>E127/B127*100%</f>
        <v>0.7553213654201089</v>
      </c>
      <c r="G127" s="52">
        <f>E127-B127</f>
        <v>-14093705892.393333</v>
      </c>
    </row>
    <row r="128" spans="3:5" ht="15">
      <c r="C128" s="126"/>
      <c r="E128" s="113"/>
    </row>
    <row r="129" spans="2:5" ht="15">
      <c r="B129" s="113"/>
      <c r="D129" s="113"/>
      <c r="E129" s="124"/>
    </row>
  </sheetData>
  <sheetProtection/>
  <mergeCells count="2">
    <mergeCell ref="B2:D2"/>
    <mergeCell ref="B3:D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mapato</dc:creator>
  <cp:keywords/>
  <dc:description/>
  <cp:lastModifiedBy>Mushema</cp:lastModifiedBy>
  <cp:lastPrinted>2016-07-17T14:24:00Z</cp:lastPrinted>
  <dcterms:created xsi:type="dcterms:W3CDTF">2013-08-13T06:44:22Z</dcterms:created>
  <dcterms:modified xsi:type="dcterms:W3CDTF">2017-05-11T10:13:51Z</dcterms:modified>
  <cp:category/>
  <cp:version/>
  <cp:contentType/>
  <cp:contentStatus/>
</cp:coreProperties>
</file>